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 449\"/>
    </mc:Choice>
  </mc:AlternateContent>
  <xr:revisionPtr revIDLastSave="0" documentId="13_ncr:1_{0E3BC0F3-692D-4D5F-A06B-BABFF4EC83FD}" xr6:coauthVersionLast="44" xr6:coauthVersionMax="44" xr10:uidLastSave="{00000000-0000-0000-0000-000000000000}"/>
  <bookViews>
    <workbookView xWindow="-120" yWindow="-120" windowWidth="19665" windowHeight="10800" xr2:uid="{CB241498-DE85-4E04-B70C-91D48BB98CC8}"/>
  </bookViews>
  <sheets>
    <sheet name="COLA" sheetId="8" r:id="rId1"/>
    <sheet name="KO Financial Rollup" sheetId="13" r:id="rId2"/>
    <sheet name="2017" sheetId="14" r:id="rId3"/>
    <sheet name="Debt" sheetId="10" r:id="rId4"/>
    <sheet name="Sheet1" sheetId="15" r:id="rId5"/>
    <sheet name="Comparable Firms" sheetId="11" r:id="rId6"/>
    <sheet name="Costs of Capital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8" l="1"/>
  <c r="M72" i="8"/>
  <c r="H73" i="8"/>
  <c r="D352" i="8"/>
  <c r="H384" i="8"/>
  <c r="I384" i="8"/>
  <c r="J384" i="8"/>
  <c r="K384" i="8"/>
  <c r="L384" i="8"/>
  <c r="H383" i="8"/>
  <c r="I383" i="8"/>
  <c r="J383" i="8"/>
  <c r="K383" i="8"/>
  <c r="L383" i="8"/>
  <c r="H382" i="8"/>
  <c r="I382" i="8"/>
  <c r="J382" i="8"/>
  <c r="K382" i="8"/>
  <c r="L382" i="8"/>
  <c r="H381" i="8"/>
  <c r="I381" i="8"/>
  <c r="J381" i="8"/>
  <c r="K381" i="8"/>
  <c r="L381" i="8"/>
  <c r="H380" i="8"/>
  <c r="I380" i="8"/>
  <c r="J380" i="8"/>
  <c r="K380" i="8"/>
  <c r="L380" i="8"/>
  <c r="H379" i="8"/>
  <c r="I379" i="8"/>
  <c r="J379" i="8"/>
  <c r="K379" i="8"/>
  <c r="L379" i="8"/>
  <c r="G383" i="8"/>
  <c r="G384" i="8"/>
  <c r="H365" i="8"/>
  <c r="H366" i="8"/>
  <c r="H367" i="8" s="1"/>
  <c r="H368" i="8"/>
  <c r="H369" i="8"/>
  <c r="H370" i="8"/>
  <c r="H372" i="8"/>
  <c r="H373" i="8"/>
  <c r="H374" i="8"/>
  <c r="H375" i="8"/>
  <c r="H376" i="8"/>
  <c r="H377" i="8"/>
  <c r="H378" i="8"/>
  <c r="H364" i="8"/>
  <c r="I364" i="8"/>
  <c r="J364" i="8"/>
  <c r="K364" i="8"/>
  <c r="L364" i="8"/>
  <c r="I365" i="8"/>
  <c r="J365" i="8"/>
  <c r="K365" i="8"/>
  <c r="L365" i="8"/>
  <c r="J340" i="8"/>
  <c r="K340" i="8"/>
  <c r="L340" i="8"/>
  <c r="L318" i="8"/>
  <c r="L319" i="8"/>
  <c r="K318" i="8"/>
  <c r="K319" i="8"/>
  <c r="J318" i="8"/>
  <c r="J319" i="8"/>
  <c r="I318" i="8"/>
  <c r="I319" i="8"/>
  <c r="I313" i="8"/>
  <c r="J313" i="8"/>
  <c r="K313" i="8"/>
  <c r="L313" i="8"/>
  <c r="H313" i="8"/>
  <c r="H319" i="8"/>
  <c r="H318" i="8"/>
  <c r="I164" i="8"/>
  <c r="J164" i="8"/>
  <c r="K164" i="8" s="1"/>
  <c r="H164" i="8"/>
  <c r="I340" i="8"/>
  <c r="L359" i="8"/>
  <c r="L360" i="8"/>
  <c r="K359" i="8"/>
  <c r="K360" i="8"/>
  <c r="J359" i="8"/>
  <c r="J360" i="8"/>
  <c r="I359" i="8"/>
  <c r="I360" i="8"/>
  <c r="H361" i="8"/>
  <c r="I361" i="8"/>
  <c r="J361" i="8"/>
  <c r="K361" i="8"/>
  <c r="L361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24" i="8"/>
  <c r="I324" i="8"/>
  <c r="J324" i="8"/>
  <c r="K324" i="8"/>
  <c r="L324" i="8"/>
  <c r="G324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J304" i="8"/>
  <c r="L30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I267" i="8"/>
  <c r="K267" i="8"/>
  <c r="H267" i="8"/>
  <c r="I222" i="8"/>
  <c r="J222" i="8"/>
  <c r="K222" i="8" s="1"/>
  <c r="L222" i="8" s="1"/>
  <c r="H222" i="8"/>
  <c r="I215" i="8"/>
  <c r="J215" i="8"/>
  <c r="K215" i="8" s="1"/>
  <c r="L215" i="8" s="1"/>
  <c r="H215" i="8"/>
  <c r="I209" i="8"/>
  <c r="J209" i="8" s="1"/>
  <c r="K209" i="8" s="1"/>
  <c r="L209" i="8" s="1"/>
  <c r="H209" i="8"/>
  <c r="I184" i="8"/>
  <c r="J184" i="8"/>
  <c r="K184" i="8" s="1"/>
  <c r="L184" i="8" s="1"/>
  <c r="I185" i="8"/>
  <c r="J185" i="8"/>
  <c r="K185" i="8" s="1"/>
  <c r="L185" i="8" s="1"/>
  <c r="H184" i="8"/>
  <c r="H185" i="8"/>
  <c r="I175" i="8"/>
  <c r="I174" i="8"/>
  <c r="J174" i="8" s="1"/>
  <c r="K174" i="8" s="1"/>
  <c r="L174" i="8" s="1"/>
  <c r="H173" i="8"/>
  <c r="I172" i="8"/>
  <c r="J172" i="8"/>
  <c r="K172" i="8" s="1"/>
  <c r="L172" i="8" s="1"/>
  <c r="H172" i="8"/>
  <c r="H175" i="8"/>
  <c r="H174" i="8"/>
  <c r="I141" i="8"/>
  <c r="J141" i="8"/>
  <c r="K141" i="8" s="1"/>
  <c r="L141" i="8" s="1"/>
  <c r="I140" i="8"/>
  <c r="J140" i="8"/>
  <c r="K140" i="8" s="1"/>
  <c r="L140" i="8" s="1"/>
  <c r="I139" i="8"/>
  <c r="J139" i="8"/>
  <c r="K139" i="8" s="1"/>
  <c r="L139" i="8" s="1"/>
  <c r="I138" i="8"/>
  <c r="J138" i="8" s="1"/>
  <c r="K138" i="8" s="1"/>
  <c r="L138" i="8" s="1"/>
  <c r="I137" i="8"/>
  <c r="J137" i="8"/>
  <c r="K137" i="8" s="1"/>
  <c r="L137" i="8" s="1"/>
  <c r="I136" i="8"/>
  <c r="J136" i="8"/>
  <c r="K136" i="8" s="1"/>
  <c r="L136" i="8" s="1"/>
  <c r="H136" i="8"/>
  <c r="H137" i="8"/>
  <c r="H138" i="8"/>
  <c r="H139" i="8"/>
  <c r="H140" i="8"/>
  <c r="H141" i="8"/>
  <c r="I130" i="8"/>
  <c r="J130" i="8"/>
  <c r="K130" i="8" s="1"/>
  <c r="H129" i="8"/>
  <c r="H124" i="8"/>
  <c r="H122" i="8"/>
  <c r="J257" i="8"/>
  <c r="H262" i="8"/>
  <c r="I262" i="8"/>
  <c r="J262" i="8"/>
  <c r="K262" i="8"/>
  <c r="L262" i="8"/>
  <c r="H261" i="8"/>
  <c r="I261" i="8"/>
  <c r="J261" i="8"/>
  <c r="K261" i="8"/>
  <c r="L261" i="8"/>
  <c r="H260" i="8"/>
  <c r="I260" i="8"/>
  <c r="J260" i="8"/>
  <c r="K260" i="8"/>
  <c r="L260" i="8"/>
  <c r="H259" i="8"/>
  <c r="I259" i="8"/>
  <c r="J259" i="8"/>
  <c r="K259" i="8"/>
  <c r="L259" i="8"/>
  <c r="H258" i="8"/>
  <c r="I258" i="8"/>
  <c r="H257" i="8"/>
  <c r="I257" i="8"/>
  <c r="K257" i="8"/>
  <c r="L257" i="8"/>
  <c r="H256" i="8"/>
  <c r="I256" i="8"/>
  <c r="J256" i="8"/>
  <c r="K256" i="8"/>
  <c r="L256" i="8"/>
  <c r="H255" i="8"/>
  <c r="I255" i="8"/>
  <c r="J255" i="8"/>
  <c r="K255" i="8"/>
  <c r="L255" i="8"/>
  <c r="H254" i="8"/>
  <c r="I254" i="8"/>
  <c r="J254" i="8"/>
  <c r="K254" i="8"/>
  <c r="L254" i="8"/>
  <c r="H253" i="8"/>
  <c r="I253" i="8"/>
  <c r="J253" i="8"/>
  <c r="K253" i="8"/>
  <c r="L253" i="8"/>
  <c r="H252" i="8"/>
  <c r="I252" i="8"/>
  <c r="J252" i="8"/>
  <c r="K252" i="8"/>
  <c r="L252" i="8"/>
  <c r="H251" i="8"/>
  <c r="I251" i="8"/>
  <c r="J251" i="8"/>
  <c r="K251" i="8"/>
  <c r="L251" i="8"/>
  <c r="H250" i="8"/>
  <c r="I250" i="8"/>
  <c r="J250" i="8"/>
  <c r="K250" i="8"/>
  <c r="L250" i="8"/>
  <c r="D107" i="8"/>
  <c r="E107" i="8"/>
  <c r="F107" i="8"/>
  <c r="G107" i="8"/>
  <c r="I107" i="8"/>
  <c r="J107" i="8"/>
  <c r="K107" i="8"/>
  <c r="L107" i="8"/>
  <c r="D106" i="8"/>
  <c r="E106" i="8"/>
  <c r="F106" i="8"/>
  <c r="G106" i="8"/>
  <c r="H106" i="8"/>
  <c r="I106" i="8"/>
  <c r="J106" i="8"/>
  <c r="K106" i="8"/>
  <c r="L106" i="8"/>
  <c r="D105" i="8"/>
  <c r="E105" i="8"/>
  <c r="F105" i="8"/>
  <c r="G105" i="8"/>
  <c r="H105" i="8"/>
  <c r="I105" i="8"/>
  <c r="J105" i="8"/>
  <c r="K105" i="8"/>
  <c r="L105" i="8"/>
  <c r="D103" i="8"/>
  <c r="E103" i="8"/>
  <c r="F103" i="8"/>
  <c r="G103" i="8"/>
  <c r="H103" i="8"/>
  <c r="H107" i="8" s="1"/>
  <c r="I103" i="8"/>
  <c r="J103" i="8"/>
  <c r="K103" i="8"/>
  <c r="L103" i="8"/>
  <c r="D101" i="8"/>
  <c r="E101" i="8"/>
  <c r="F101" i="8"/>
  <c r="G101" i="8"/>
  <c r="H101" i="8"/>
  <c r="I101" i="8"/>
  <c r="J101" i="8"/>
  <c r="K101" i="8"/>
  <c r="L101" i="8"/>
  <c r="D100" i="8"/>
  <c r="E100" i="8"/>
  <c r="F100" i="8"/>
  <c r="G100" i="8"/>
  <c r="H100" i="8"/>
  <c r="I100" i="8"/>
  <c r="J100" i="8"/>
  <c r="K100" i="8"/>
  <c r="L100" i="8"/>
  <c r="D99" i="8"/>
  <c r="E99" i="8"/>
  <c r="F99" i="8"/>
  <c r="G99" i="8"/>
  <c r="H99" i="8"/>
  <c r="I99" i="8"/>
  <c r="J99" i="8"/>
  <c r="K99" i="8"/>
  <c r="L99" i="8"/>
  <c r="D98" i="8"/>
  <c r="E98" i="8"/>
  <c r="F98" i="8"/>
  <c r="G98" i="8"/>
  <c r="H98" i="8"/>
  <c r="I98" i="8"/>
  <c r="J98" i="8"/>
  <c r="K98" i="8"/>
  <c r="L98" i="8"/>
  <c r="D97" i="8"/>
  <c r="E97" i="8"/>
  <c r="F97" i="8"/>
  <c r="G97" i="8"/>
  <c r="H97" i="8"/>
  <c r="I97" i="8"/>
  <c r="J97" i="8"/>
  <c r="K97" i="8"/>
  <c r="L97" i="8"/>
  <c r="D96" i="8"/>
  <c r="E96" i="8"/>
  <c r="F96" i="8"/>
  <c r="G96" i="8"/>
  <c r="H96" i="8"/>
  <c r="I96" i="8"/>
  <c r="J96" i="8"/>
  <c r="K96" i="8"/>
  <c r="L96" i="8"/>
  <c r="D95" i="8"/>
  <c r="E95" i="8"/>
  <c r="F95" i="8"/>
  <c r="G95" i="8"/>
  <c r="H95" i="8"/>
  <c r="I95" i="8"/>
  <c r="J95" i="8"/>
  <c r="K95" i="8"/>
  <c r="L95" i="8"/>
  <c r="D94" i="8"/>
  <c r="E94" i="8"/>
  <c r="F94" i="8"/>
  <c r="G94" i="8"/>
  <c r="H94" i="8"/>
  <c r="I94" i="8"/>
  <c r="J94" i="8"/>
  <c r="K94" i="8"/>
  <c r="L94" i="8"/>
  <c r="C107" i="8"/>
  <c r="C106" i="8"/>
  <c r="C103" i="8"/>
  <c r="C105" i="8"/>
  <c r="C101" i="8"/>
  <c r="C100" i="8"/>
  <c r="C99" i="8"/>
  <c r="C98" i="8"/>
  <c r="A16" i="9"/>
  <c r="B31" i="8"/>
  <c r="B30" i="8"/>
  <c r="B29" i="8"/>
  <c r="B23" i="8"/>
  <c r="B22" i="8"/>
  <c r="B21" i="8"/>
  <c r="B20" i="8"/>
  <c r="A5" i="10"/>
  <c r="A4" i="10"/>
  <c r="H371" i="8" l="1"/>
  <c r="L164" i="8"/>
  <c r="L283" i="8" s="1"/>
  <c r="K283" i="8"/>
  <c r="L130" i="8"/>
  <c r="L258" i="8" s="1"/>
  <c r="K258" i="8"/>
  <c r="J258" i="8"/>
  <c r="C283" i="8" l="1"/>
  <c r="C97" i="8"/>
  <c r="C96" i="8"/>
  <c r="F92" i="8"/>
  <c r="C92" i="8"/>
  <c r="H307" i="8"/>
  <c r="C95" i="8"/>
  <c r="C94" i="8"/>
  <c r="C347" i="8"/>
  <c r="A10" i="9"/>
  <c r="E8" i="15"/>
  <c r="D8" i="15"/>
  <c r="C19" i="10"/>
  <c r="C18" i="10"/>
  <c r="J26" i="10"/>
  <c r="I26" i="10"/>
  <c r="H26" i="10"/>
  <c r="G26" i="10"/>
  <c r="F26" i="10"/>
  <c r="E26" i="10"/>
  <c r="D384" i="8"/>
  <c r="E384" i="8"/>
  <c r="F384" i="8"/>
  <c r="D383" i="8"/>
  <c r="E383" i="8"/>
  <c r="F383" i="8"/>
  <c r="D382" i="8"/>
  <c r="E382" i="8"/>
  <c r="F382" i="8"/>
  <c r="G382" i="8"/>
  <c r="D381" i="8"/>
  <c r="E381" i="8"/>
  <c r="F381" i="8"/>
  <c r="G381" i="8"/>
  <c r="D380" i="8"/>
  <c r="E380" i="8"/>
  <c r="F380" i="8"/>
  <c r="G380" i="8"/>
  <c r="D379" i="8"/>
  <c r="E379" i="8"/>
  <c r="F379" i="8"/>
  <c r="G379" i="8"/>
  <c r="D378" i="8"/>
  <c r="E378" i="8"/>
  <c r="F378" i="8"/>
  <c r="G378" i="8"/>
  <c r="D377" i="8"/>
  <c r="E377" i="8"/>
  <c r="F377" i="8"/>
  <c r="G377" i="8"/>
  <c r="D376" i="8"/>
  <c r="E376" i="8"/>
  <c r="F376" i="8"/>
  <c r="G376" i="8"/>
  <c r="C376" i="8"/>
  <c r="D375" i="8"/>
  <c r="E375" i="8"/>
  <c r="F375" i="8"/>
  <c r="G375" i="8"/>
  <c r="C375" i="8"/>
  <c r="D374" i="8"/>
  <c r="E374" i="8"/>
  <c r="F374" i="8"/>
  <c r="G374" i="8"/>
  <c r="C374" i="8"/>
  <c r="D373" i="8"/>
  <c r="E373" i="8"/>
  <c r="F373" i="8"/>
  <c r="G373" i="8"/>
  <c r="D372" i="8"/>
  <c r="E372" i="8"/>
  <c r="F372" i="8"/>
  <c r="G372" i="8"/>
  <c r="D371" i="8"/>
  <c r="E371" i="8"/>
  <c r="F371" i="8"/>
  <c r="G371" i="8"/>
  <c r="D370" i="8"/>
  <c r="E370" i="8"/>
  <c r="F370" i="8"/>
  <c r="G370" i="8"/>
  <c r="D369" i="8"/>
  <c r="E369" i="8"/>
  <c r="F369" i="8"/>
  <c r="G369" i="8"/>
  <c r="C369" i="8"/>
  <c r="D368" i="8"/>
  <c r="E368" i="8"/>
  <c r="F368" i="8"/>
  <c r="G368" i="8"/>
  <c r="C368" i="8"/>
  <c r="D367" i="8"/>
  <c r="E367" i="8"/>
  <c r="F367" i="8"/>
  <c r="G367" i="8"/>
  <c r="C367" i="8"/>
  <c r="G366" i="8"/>
  <c r="D366" i="8"/>
  <c r="E366" i="8"/>
  <c r="F366" i="8"/>
  <c r="C366" i="8"/>
  <c r="E365" i="8"/>
  <c r="F365" i="8"/>
  <c r="G365" i="8"/>
  <c r="D365" i="8"/>
  <c r="D364" i="8"/>
  <c r="E364" i="8"/>
  <c r="F364" i="8"/>
  <c r="G364" i="8"/>
  <c r="C383" i="8"/>
  <c r="C381" i="8"/>
  <c r="C380" i="8"/>
  <c r="C382" i="8" s="1"/>
  <c r="C384" i="8" s="1"/>
  <c r="C379" i="8"/>
  <c r="C378" i="8"/>
  <c r="C373" i="8"/>
  <c r="C372" i="8" l="1"/>
  <c r="C371" i="8"/>
  <c r="C370" i="8"/>
  <c r="C365" i="8"/>
  <c r="C364" i="8"/>
  <c r="G353" i="8"/>
  <c r="G354" i="8"/>
  <c r="G355" i="8"/>
  <c r="G356" i="8"/>
  <c r="G357" i="8"/>
  <c r="G358" i="8"/>
  <c r="G359" i="8"/>
  <c r="G360" i="8"/>
  <c r="G361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3" i="8"/>
  <c r="G344" i="8"/>
  <c r="G345" i="8"/>
  <c r="G346" i="8"/>
  <c r="G347" i="8"/>
  <c r="G348" i="8"/>
  <c r="G349" i="8"/>
  <c r="G350" i="8"/>
  <c r="G351" i="8"/>
  <c r="G352" i="8"/>
  <c r="F357" i="8"/>
  <c r="F358" i="8"/>
  <c r="F359" i="8"/>
  <c r="F360" i="8"/>
  <c r="F361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24" i="8"/>
  <c r="E361" i="8"/>
  <c r="E352" i="8"/>
  <c r="E353" i="8"/>
  <c r="E354" i="8"/>
  <c r="E355" i="8"/>
  <c r="E356" i="8"/>
  <c r="E357" i="8"/>
  <c r="E358" i="8"/>
  <c r="E359" i="8"/>
  <c r="E360" i="8"/>
  <c r="E343" i="8"/>
  <c r="E344" i="8"/>
  <c r="E345" i="8"/>
  <c r="E346" i="8"/>
  <c r="E347" i="8"/>
  <c r="E348" i="8"/>
  <c r="E349" i="8"/>
  <c r="E350" i="8"/>
  <c r="E351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24" i="8"/>
  <c r="D361" i="8"/>
  <c r="D349" i="8"/>
  <c r="D350" i="8"/>
  <c r="D351" i="8"/>
  <c r="D353" i="8"/>
  <c r="D354" i="8"/>
  <c r="D355" i="8"/>
  <c r="D356" i="8"/>
  <c r="D357" i="8"/>
  <c r="D358" i="8"/>
  <c r="D359" i="8"/>
  <c r="D360" i="8"/>
  <c r="D340" i="8"/>
  <c r="D341" i="8"/>
  <c r="D343" i="8"/>
  <c r="D344" i="8"/>
  <c r="D345" i="8"/>
  <c r="D346" i="8"/>
  <c r="D347" i="8"/>
  <c r="D348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C361" i="8"/>
  <c r="C355" i="8"/>
  <c r="C356" i="8"/>
  <c r="C357" i="8"/>
  <c r="C358" i="8"/>
  <c r="C359" i="8"/>
  <c r="C360" i="8"/>
  <c r="C343" i="8"/>
  <c r="C344" i="8"/>
  <c r="C345" i="8"/>
  <c r="C346" i="8"/>
  <c r="C348" i="8"/>
  <c r="C349" i="8"/>
  <c r="C350" i="8"/>
  <c r="C351" i="8"/>
  <c r="C352" i="8"/>
  <c r="C353" i="8"/>
  <c r="C35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24" i="8"/>
  <c r="F319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07" i="8"/>
  <c r="F308" i="8"/>
  <c r="F309" i="8"/>
  <c r="F310" i="8"/>
  <c r="F311" i="8"/>
  <c r="F312" i="8"/>
  <c r="F313" i="8"/>
  <c r="F314" i="8"/>
  <c r="F315" i="8"/>
  <c r="F316" i="8"/>
  <c r="F317" i="8"/>
  <c r="F318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07" i="8"/>
  <c r="E307" i="8"/>
  <c r="F307" i="8"/>
  <c r="C316" i="8"/>
  <c r="C308" i="8"/>
  <c r="C309" i="8"/>
  <c r="C310" i="8"/>
  <c r="C311" i="8"/>
  <c r="C312" i="8"/>
  <c r="C313" i="8"/>
  <c r="C314" i="8"/>
  <c r="C315" i="8"/>
  <c r="C317" i="8"/>
  <c r="C318" i="8"/>
  <c r="C319" i="8"/>
  <c r="C307" i="8"/>
  <c r="G304" i="8"/>
  <c r="G300" i="8"/>
  <c r="G301" i="8"/>
  <c r="G302" i="8"/>
  <c r="G303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283" i="8"/>
  <c r="G284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267" i="8"/>
  <c r="E267" i="8"/>
  <c r="F267" i="8"/>
  <c r="G267" i="8"/>
  <c r="C301" i="8"/>
  <c r="C302" i="8"/>
  <c r="C303" i="8"/>
  <c r="C30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4" i="8"/>
  <c r="C267" i="8"/>
  <c r="G262" i="8"/>
  <c r="G251" i="8"/>
  <c r="G252" i="8"/>
  <c r="G253" i="8"/>
  <c r="G254" i="8"/>
  <c r="G255" i="8"/>
  <c r="G256" i="8"/>
  <c r="G257" i="8"/>
  <c r="G258" i="8"/>
  <c r="G259" i="8"/>
  <c r="G260" i="8"/>
  <c r="G261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50" i="8"/>
  <c r="F250" i="8"/>
  <c r="G250" i="8"/>
  <c r="D262" i="8"/>
  <c r="D251" i="8"/>
  <c r="D252" i="8"/>
  <c r="D253" i="8"/>
  <c r="D254" i="8"/>
  <c r="D255" i="8"/>
  <c r="D256" i="8"/>
  <c r="D257" i="8"/>
  <c r="D258" i="8"/>
  <c r="D259" i="8"/>
  <c r="D260" i="8"/>
  <c r="D261" i="8"/>
  <c r="D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50" i="8"/>
  <c r="A15" i="9" l="1"/>
  <c r="A8" i="9"/>
  <c r="I3" i="11"/>
  <c r="J3" i="11" s="1"/>
  <c r="I12" i="11"/>
  <c r="I11" i="11"/>
  <c r="I10" i="11"/>
  <c r="J9" i="11"/>
  <c r="I9" i="11"/>
  <c r="I8" i="11"/>
  <c r="I7" i="11"/>
  <c r="J7" i="11"/>
  <c r="I6" i="11"/>
  <c r="I4" i="11"/>
  <c r="I5" i="11"/>
  <c r="G5" i="11"/>
  <c r="C13" i="11"/>
  <c r="B11" i="8" l="1"/>
  <c r="D244" i="8" l="1"/>
  <c r="E244" i="8"/>
  <c r="F244" i="8"/>
  <c r="G244" i="8"/>
  <c r="C244" i="8"/>
  <c r="B84" i="8" l="1"/>
  <c r="B63" i="8"/>
  <c r="B82" i="8"/>
  <c r="B48" i="8"/>
  <c r="B46" i="8"/>
  <c r="B61" i="8" s="1"/>
  <c r="I348" i="8"/>
  <c r="J348" i="8"/>
  <c r="K348" i="8"/>
  <c r="L348" i="8"/>
  <c r="I349" i="8"/>
  <c r="J349" i="8"/>
  <c r="K349" i="8"/>
  <c r="L349" i="8"/>
  <c r="D324" i="8"/>
  <c r="H191" i="8"/>
  <c r="I191" i="8" l="1"/>
  <c r="D3" i="8"/>
  <c r="E3" i="8"/>
  <c r="F3" i="8"/>
  <c r="G3" i="8"/>
  <c r="B34" i="8"/>
  <c r="B13" i="8"/>
  <c r="J3" i="8" l="1"/>
  <c r="I3" i="8"/>
  <c r="H3" i="8"/>
  <c r="M3" i="8"/>
  <c r="M4" i="8" s="1"/>
  <c r="K3" i="8"/>
  <c r="L3" i="8"/>
  <c r="J191" i="8"/>
  <c r="C377" i="8"/>
  <c r="C3" i="8"/>
  <c r="D112" i="8"/>
  <c r="E112" i="8"/>
  <c r="F112" i="8"/>
  <c r="G112" i="8"/>
  <c r="H183" i="8" l="1"/>
  <c r="I183" i="8" s="1"/>
  <c r="H148" i="8"/>
  <c r="E56" i="8"/>
  <c r="F71" i="8"/>
  <c r="D71" i="8"/>
  <c r="D56" i="8"/>
  <c r="D111" i="8"/>
  <c r="D113" i="8" s="1"/>
  <c r="H194" i="8"/>
  <c r="I194" i="8" s="1"/>
  <c r="J194" i="8" s="1"/>
  <c r="K194" i="8" s="1"/>
  <c r="L194" i="8" s="1"/>
  <c r="H196" i="8"/>
  <c r="I196" i="8" s="1"/>
  <c r="J196" i="8" s="1"/>
  <c r="K196" i="8" s="1"/>
  <c r="L196" i="8" s="1"/>
  <c r="H198" i="8"/>
  <c r="I198" i="8" s="1"/>
  <c r="J198" i="8" s="1"/>
  <c r="K198" i="8" s="1"/>
  <c r="L198" i="8" s="1"/>
  <c r="H200" i="8"/>
  <c r="I200" i="8" s="1"/>
  <c r="J200" i="8" s="1"/>
  <c r="K200" i="8" s="1"/>
  <c r="L200" i="8" s="1"/>
  <c r="H203" i="8"/>
  <c r="I203" i="8" s="1"/>
  <c r="J203" i="8" s="1"/>
  <c r="K203" i="8" s="1"/>
  <c r="L203" i="8" s="1"/>
  <c r="H205" i="8"/>
  <c r="I205" i="8" s="1"/>
  <c r="J205" i="8" s="1"/>
  <c r="K205" i="8" s="1"/>
  <c r="L205" i="8" s="1"/>
  <c r="H207" i="8"/>
  <c r="I207" i="8" s="1"/>
  <c r="J207" i="8" s="1"/>
  <c r="K207" i="8" s="1"/>
  <c r="L207" i="8" s="1"/>
  <c r="H212" i="8"/>
  <c r="I212" i="8" s="1"/>
  <c r="J212" i="8" s="1"/>
  <c r="K212" i="8" s="1"/>
  <c r="L212" i="8" s="1"/>
  <c r="H214" i="8"/>
  <c r="I214" i="8" s="1"/>
  <c r="J214" i="8" s="1"/>
  <c r="K214" i="8" s="1"/>
  <c r="L214" i="8" s="1"/>
  <c r="H217" i="8"/>
  <c r="I217" i="8" s="1"/>
  <c r="J217" i="8" s="1"/>
  <c r="K217" i="8" s="1"/>
  <c r="L217" i="8" s="1"/>
  <c r="H221" i="8"/>
  <c r="I221" i="8" s="1"/>
  <c r="J221" i="8" s="1"/>
  <c r="K221" i="8" s="1"/>
  <c r="L221" i="8" s="1"/>
  <c r="H193" i="8"/>
  <c r="I193" i="8" s="1"/>
  <c r="J193" i="8" s="1"/>
  <c r="K193" i="8" s="1"/>
  <c r="L193" i="8" s="1"/>
  <c r="H195" i="8"/>
  <c r="I195" i="8" s="1"/>
  <c r="J195" i="8" s="1"/>
  <c r="K195" i="8" s="1"/>
  <c r="L195" i="8" s="1"/>
  <c r="H197" i="8"/>
  <c r="I197" i="8" s="1"/>
  <c r="J197" i="8" s="1"/>
  <c r="K197" i="8" s="1"/>
  <c r="L197" i="8" s="1"/>
  <c r="H199" i="8"/>
  <c r="I199" i="8" s="1"/>
  <c r="J199" i="8" s="1"/>
  <c r="K199" i="8" s="1"/>
  <c r="L199" i="8" s="1"/>
  <c r="H202" i="8"/>
  <c r="I202" i="8" s="1"/>
  <c r="J202" i="8" s="1"/>
  <c r="K202" i="8" s="1"/>
  <c r="L202" i="8" s="1"/>
  <c r="H204" i="8"/>
  <c r="I204" i="8" s="1"/>
  <c r="J204" i="8" s="1"/>
  <c r="K204" i="8" s="1"/>
  <c r="L204" i="8" s="1"/>
  <c r="H206" i="8"/>
  <c r="I206" i="8" s="1"/>
  <c r="J206" i="8" s="1"/>
  <c r="K206" i="8" s="1"/>
  <c r="L206" i="8" s="1"/>
  <c r="H208" i="8"/>
  <c r="I208" i="8" s="1"/>
  <c r="J208" i="8" s="1"/>
  <c r="K208" i="8" s="1"/>
  <c r="L208" i="8" s="1"/>
  <c r="H211" i="8"/>
  <c r="I211" i="8" s="1"/>
  <c r="J211" i="8" s="1"/>
  <c r="K211" i="8" s="1"/>
  <c r="L211" i="8" s="1"/>
  <c r="H213" i="8"/>
  <c r="I213" i="8" s="1"/>
  <c r="J213" i="8" s="1"/>
  <c r="K213" i="8" s="1"/>
  <c r="L213" i="8" s="1"/>
  <c r="H216" i="8"/>
  <c r="I216" i="8" s="1"/>
  <c r="J216" i="8" s="1"/>
  <c r="K216" i="8" s="1"/>
  <c r="L216" i="8" s="1"/>
  <c r="H218" i="8"/>
  <c r="I218" i="8" s="1"/>
  <c r="J218" i="8" s="1"/>
  <c r="K218" i="8" s="1"/>
  <c r="L218" i="8" s="1"/>
  <c r="H220" i="8"/>
  <c r="I220" i="8" s="1"/>
  <c r="J220" i="8" s="1"/>
  <c r="K220" i="8" s="1"/>
  <c r="L220" i="8" s="1"/>
  <c r="H192" i="8"/>
  <c r="I192" i="8" s="1"/>
  <c r="J192" i="8" s="1"/>
  <c r="K192" i="8" s="1"/>
  <c r="L192" i="8" s="1"/>
  <c r="C71" i="8"/>
  <c r="K191" i="8"/>
  <c r="H182" i="8"/>
  <c r="H180" i="8"/>
  <c r="H178" i="8"/>
  <c r="I173" i="8"/>
  <c r="J173" i="8" s="1"/>
  <c r="K173" i="8" s="1"/>
  <c r="L173" i="8" s="1"/>
  <c r="H170" i="8"/>
  <c r="H168" i="8"/>
  <c r="H166" i="8"/>
  <c r="H149" i="8"/>
  <c r="H151" i="8"/>
  <c r="H153" i="8"/>
  <c r="H155" i="8"/>
  <c r="H157" i="8"/>
  <c r="H159" i="8"/>
  <c r="H161" i="8"/>
  <c r="H163" i="8"/>
  <c r="H123" i="8"/>
  <c r="H125" i="8"/>
  <c r="H127" i="8"/>
  <c r="H130" i="8"/>
  <c r="H132" i="8"/>
  <c r="H134" i="8"/>
  <c r="I134" i="8" s="1"/>
  <c r="J134" i="8" s="1"/>
  <c r="K134" i="8" s="1"/>
  <c r="L134" i="8" s="1"/>
  <c r="H181" i="8"/>
  <c r="H179" i="8"/>
  <c r="H177" i="8"/>
  <c r="H171" i="8"/>
  <c r="H169" i="8"/>
  <c r="H167" i="8"/>
  <c r="H165" i="8"/>
  <c r="H150" i="8"/>
  <c r="H152" i="8"/>
  <c r="H154" i="8"/>
  <c r="H156" i="8"/>
  <c r="H158" i="8"/>
  <c r="H160" i="8"/>
  <c r="H162" i="8"/>
  <c r="H126" i="8"/>
  <c r="I126" i="8" s="1"/>
  <c r="J126" i="8" s="1"/>
  <c r="K126" i="8" s="1"/>
  <c r="L126" i="8" s="1"/>
  <c r="H128" i="8"/>
  <c r="H131" i="8"/>
  <c r="H133" i="8"/>
  <c r="H135" i="8"/>
  <c r="I135" i="8" s="1"/>
  <c r="J135" i="8" s="1"/>
  <c r="K135" i="8" s="1"/>
  <c r="L135" i="8" s="1"/>
  <c r="F111" i="8"/>
  <c r="F113" i="8" s="1"/>
  <c r="C112" i="8"/>
  <c r="B10" i="8"/>
  <c r="B12" i="8" s="1"/>
  <c r="B14" i="8" s="1"/>
  <c r="F109" i="8" l="1"/>
  <c r="F42" i="8" s="1"/>
  <c r="D109" i="8"/>
  <c r="D42" i="8" s="1"/>
  <c r="C56" i="8"/>
  <c r="L191" i="8"/>
  <c r="E111" i="8"/>
  <c r="E113" i="8" s="1"/>
  <c r="E71" i="8"/>
  <c r="C109" i="8"/>
  <c r="C42" i="8" s="1"/>
  <c r="C111" i="8"/>
  <c r="G56" i="8"/>
  <c r="G71" i="8"/>
  <c r="G111" i="8"/>
  <c r="G113" i="8" s="1"/>
  <c r="G109" i="8"/>
  <c r="G42" i="8" s="1"/>
  <c r="E109" i="8"/>
  <c r="E42" i="8" s="1"/>
  <c r="H317" i="8"/>
  <c r="H190" i="8"/>
  <c r="I133" i="8"/>
  <c r="H309" i="8"/>
  <c r="I124" i="8"/>
  <c r="I158" i="8"/>
  <c r="I150" i="8"/>
  <c r="I167" i="8"/>
  <c r="I171" i="8"/>
  <c r="I177" i="8"/>
  <c r="I181" i="8"/>
  <c r="I122" i="8"/>
  <c r="H316" i="8"/>
  <c r="I132" i="8"/>
  <c r="H311" i="8"/>
  <c r="I127" i="8"/>
  <c r="H308" i="8"/>
  <c r="I123" i="8"/>
  <c r="I161" i="8"/>
  <c r="I157" i="8"/>
  <c r="I153" i="8"/>
  <c r="I149" i="8"/>
  <c r="I168" i="8"/>
  <c r="I178" i="8"/>
  <c r="I182" i="8"/>
  <c r="H312" i="8"/>
  <c r="I128" i="8"/>
  <c r="I162" i="8"/>
  <c r="I154" i="8"/>
  <c r="H315" i="8"/>
  <c r="I131" i="8"/>
  <c r="I148" i="8"/>
  <c r="I160" i="8"/>
  <c r="I156" i="8"/>
  <c r="I152" i="8"/>
  <c r="I165" i="8"/>
  <c r="I169" i="8"/>
  <c r="I179" i="8"/>
  <c r="H314" i="8"/>
  <c r="H310" i="8"/>
  <c r="I125" i="8"/>
  <c r="I163" i="8"/>
  <c r="I159" i="8"/>
  <c r="I155" i="8"/>
  <c r="I151" i="8"/>
  <c r="I166" i="8"/>
  <c r="I170" i="8"/>
  <c r="I180" i="8"/>
  <c r="C113" i="8"/>
  <c r="E14" i="11"/>
  <c r="D14" i="11"/>
  <c r="C14" i="11"/>
  <c r="E13" i="11"/>
  <c r="B28" i="8" s="1"/>
  <c r="D13" i="11"/>
  <c r="B19" i="8" s="1"/>
  <c r="J12" i="11"/>
  <c r="J11" i="11"/>
  <c r="J10" i="11"/>
  <c r="J8" i="11"/>
  <c r="J6" i="11"/>
  <c r="J5" i="11"/>
  <c r="J4" i="11"/>
  <c r="A11" i="10"/>
  <c r="A23" i="9" s="1"/>
  <c r="H5" i="8" s="1"/>
  <c r="B30" i="9"/>
  <c r="C23" i="10" l="1"/>
  <c r="C17" i="10"/>
  <c r="C30" i="9"/>
  <c r="I5" i="8"/>
  <c r="I129" i="8" s="1"/>
  <c r="I373" i="8" s="1"/>
  <c r="J5" i="8"/>
  <c r="K5" i="8"/>
  <c r="L5" i="8"/>
  <c r="I351" i="8"/>
  <c r="I327" i="8"/>
  <c r="J151" i="8"/>
  <c r="I310" i="8"/>
  <c r="J125" i="8"/>
  <c r="J183" i="8"/>
  <c r="I358" i="8"/>
  <c r="J175" i="8"/>
  <c r="I350" i="8"/>
  <c r="J165" i="8"/>
  <c r="I341" i="8"/>
  <c r="I332" i="8"/>
  <c r="J156" i="8"/>
  <c r="I375" i="8"/>
  <c r="J148" i="8"/>
  <c r="I315" i="8"/>
  <c r="J131" i="8"/>
  <c r="I338" i="8"/>
  <c r="J162" i="8"/>
  <c r="J182" i="8"/>
  <c r="I357" i="8"/>
  <c r="J168" i="8"/>
  <c r="I344" i="8"/>
  <c r="I329" i="8"/>
  <c r="J153" i="8"/>
  <c r="I337" i="8"/>
  <c r="J161" i="8"/>
  <c r="I311" i="8"/>
  <c r="J127" i="8"/>
  <c r="I316" i="8"/>
  <c r="J132" i="8"/>
  <c r="J181" i="8"/>
  <c r="I356" i="8"/>
  <c r="J171" i="8"/>
  <c r="I347" i="8"/>
  <c r="I326" i="8"/>
  <c r="J150" i="8"/>
  <c r="I374" i="8"/>
  <c r="I309" i="8"/>
  <c r="J124" i="8"/>
  <c r="I317" i="8"/>
  <c r="I369" i="8"/>
  <c r="I370" i="8" s="1"/>
  <c r="I190" i="8"/>
  <c r="J133" i="8"/>
  <c r="J166" i="8"/>
  <c r="I366" i="8"/>
  <c r="I339" i="8"/>
  <c r="J163" i="8"/>
  <c r="J180" i="8"/>
  <c r="I355" i="8"/>
  <c r="J170" i="8"/>
  <c r="I346" i="8"/>
  <c r="I331" i="8"/>
  <c r="J155" i="8"/>
  <c r="I335" i="8"/>
  <c r="J159" i="8"/>
  <c r="I314" i="8"/>
  <c r="J179" i="8"/>
  <c r="I354" i="8"/>
  <c r="J169" i="8"/>
  <c r="I345" i="8"/>
  <c r="I328" i="8"/>
  <c r="J152" i="8"/>
  <c r="I336" i="8"/>
  <c r="J160" i="8"/>
  <c r="I330" i="8"/>
  <c r="J154" i="8"/>
  <c r="I312" i="8"/>
  <c r="J128" i="8"/>
  <c r="J178" i="8"/>
  <c r="I353" i="8"/>
  <c r="I325" i="8"/>
  <c r="J149" i="8"/>
  <c r="I333" i="8"/>
  <c r="J157" i="8"/>
  <c r="I376" i="8"/>
  <c r="I378" i="8"/>
  <c r="I308" i="8"/>
  <c r="J123" i="8"/>
  <c r="I377" i="8"/>
  <c r="I307" i="8"/>
  <c r="J122" i="8"/>
  <c r="J177" i="8"/>
  <c r="I352" i="8"/>
  <c r="J167" i="8"/>
  <c r="I343" i="8"/>
  <c r="I334" i="8"/>
  <c r="J158" i="8"/>
  <c r="J14" i="11"/>
  <c r="J13" i="11"/>
  <c r="A14" i="10" l="1"/>
  <c r="B32" i="8" s="1"/>
  <c r="B81" i="8"/>
  <c r="H71" i="8"/>
  <c r="H56" i="8"/>
  <c r="J333" i="8"/>
  <c r="K157" i="8"/>
  <c r="K178" i="8"/>
  <c r="J353" i="8"/>
  <c r="J330" i="8"/>
  <c r="K154" i="8"/>
  <c r="J328" i="8"/>
  <c r="K152" i="8"/>
  <c r="K179" i="8"/>
  <c r="J354" i="8"/>
  <c r="J335" i="8"/>
  <c r="K159" i="8"/>
  <c r="K180" i="8"/>
  <c r="J355" i="8"/>
  <c r="J317" i="8"/>
  <c r="J369" i="8"/>
  <c r="J370" i="8" s="1"/>
  <c r="J190" i="8"/>
  <c r="K133" i="8"/>
  <c r="J374" i="8"/>
  <c r="J309" i="8"/>
  <c r="K124" i="8"/>
  <c r="J326" i="8"/>
  <c r="K150" i="8"/>
  <c r="K181" i="8"/>
  <c r="J356" i="8"/>
  <c r="J311" i="8"/>
  <c r="K127" i="8"/>
  <c r="J337" i="8"/>
  <c r="K161" i="8"/>
  <c r="K168" i="8"/>
  <c r="J344" i="8"/>
  <c r="J338" i="8"/>
  <c r="K162" i="8"/>
  <c r="J315" i="8"/>
  <c r="K131" i="8"/>
  <c r="K165" i="8"/>
  <c r="J341" i="8"/>
  <c r="J129" i="8"/>
  <c r="K175" i="8"/>
  <c r="J350" i="8"/>
  <c r="J310" i="8"/>
  <c r="K125" i="8"/>
  <c r="K167" i="8"/>
  <c r="J343" i="8"/>
  <c r="J377" i="8"/>
  <c r="J307" i="8"/>
  <c r="K122" i="8"/>
  <c r="J334" i="8"/>
  <c r="K158" i="8"/>
  <c r="K177" i="8"/>
  <c r="J352" i="8"/>
  <c r="H111" i="8"/>
  <c r="J376" i="8"/>
  <c r="J378" i="8"/>
  <c r="J308" i="8"/>
  <c r="K123" i="8"/>
  <c r="J325" i="8"/>
  <c r="K149" i="8"/>
  <c r="J312" i="8"/>
  <c r="K128" i="8"/>
  <c r="J336" i="8"/>
  <c r="K160" i="8"/>
  <c r="K169" i="8"/>
  <c r="J345" i="8"/>
  <c r="J314" i="8"/>
  <c r="J331" i="8"/>
  <c r="K155" i="8"/>
  <c r="K170" i="8"/>
  <c r="J346" i="8"/>
  <c r="J366" i="8"/>
  <c r="J339" i="8"/>
  <c r="K163" i="8"/>
  <c r="K166" i="8"/>
  <c r="I368" i="8"/>
  <c r="I372" i="8" s="1"/>
  <c r="I367" i="8"/>
  <c r="I371" i="8" s="1"/>
  <c r="K171" i="8"/>
  <c r="J347" i="8"/>
  <c r="J316" i="8"/>
  <c r="K132" i="8"/>
  <c r="J329" i="8"/>
  <c r="K153" i="8"/>
  <c r="K182" i="8"/>
  <c r="J357" i="8"/>
  <c r="J375" i="8"/>
  <c r="K148" i="8"/>
  <c r="J332" i="8"/>
  <c r="K156" i="8"/>
  <c r="H112" i="8"/>
  <c r="H76" i="8" s="1"/>
  <c r="K183" i="8"/>
  <c r="J358" i="8"/>
  <c r="J327" i="8"/>
  <c r="K151" i="8"/>
  <c r="J351" i="8"/>
  <c r="A9" i="9" l="1"/>
  <c r="A19" i="9" s="1"/>
  <c r="A20" i="9" s="1"/>
  <c r="E30" i="9"/>
  <c r="B69" i="8"/>
  <c r="I71" i="8"/>
  <c r="I56" i="8"/>
  <c r="B33" i="8"/>
  <c r="B35" i="8" s="1"/>
  <c r="B60" i="8"/>
  <c r="K327" i="8"/>
  <c r="L151" i="8"/>
  <c r="K332" i="8"/>
  <c r="L156" i="8"/>
  <c r="K329" i="8"/>
  <c r="L153" i="8"/>
  <c r="K316" i="8"/>
  <c r="L132" i="8"/>
  <c r="L166" i="8"/>
  <c r="K331" i="8"/>
  <c r="L155" i="8"/>
  <c r="K314" i="8"/>
  <c r="K336" i="8"/>
  <c r="L160" i="8"/>
  <c r="K325" i="8"/>
  <c r="L149" i="8"/>
  <c r="K376" i="8"/>
  <c r="K378" i="8"/>
  <c r="K308" i="8"/>
  <c r="L123" i="8"/>
  <c r="H109" i="8"/>
  <c r="H42" i="8" s="1"/>
  <c r="K334" i="8"/>
  <c r="L158" i="8"/>
  <c r="L167" i="8"/>
  <c r="K343" i="8"/>
  <c r="L175" i="8"/>
  <c r="K350" i="8"/>
  <c r="I112" i="8"/>
  <c r="I76" i="8" s="1"/>
  <c r="K338" i="8"/>
  <c r="L162" i="8"/>
  <c r="K337" i="8"/>
  <c r="L161" i="8"/>
  <c r="K326" i="8"/>
  <c r="L150" i="8"/>
  <c r="J367" i="8"/>
  <c r="J371" i="8" s="1"/>
  <c r="J368" i="8"/>
  <c r="K335" i="8"/>
  <c r="L159" i="8"/>
  <c r="K328" i="8"/>
  <c r="L152" i="8"/>
  <c r="L178" i="8"/>
  <c r="K353" i="8"/>
  <c r="K351" i="8"/>
  <c r="L183" i="8"/>
  <c r="K358" i="8"/>
  <c r="K375" i="8"/>
  <c r="L148" i="8"/>
  <c r="L182" i="8"/>
  <c r="K357" i="8"/>
  <c r="I111" i="8"/>
  <c r="L171" i="8"/>
  <c r="K347" i="8"/>
  <c r="K366" i="8"/>
  <c r="K339" i="8"/>
  <c r="L163" i="8"/>
  <c r="L170" i="8"/>
  <c r="K346" i="8"/>
  <c r="L169" i="8"/>
  <c r="K345" i="8"/>
  <c r="K312" i="8"/>
  <c r="L128" i="8"/>
  <c r="H113" i="8"/>
  <c r="L177" i="8"/>
  <c r="K352" i="8"/>
  <c r="K377" i="8"/>
  <c r="K307" i="8"/>
  <c r="L122" i="8"/>
  <c r="K310" i="8"/>
  <c r="L125" i="8"/>
  <c r="L165" i="8"/>
  <c r="K341" i="8"/>
  <c r="K129" i="8"/>
  <c r="K315" i="8"/>
  <c r="L131" i="8"/>
  <c r="J373" i="8"/>
  <c r="L168" i="8"/>
  <c r="K344" i="8"/>
  <c r="K311" i="8"/>
  <c r="L127" i="8"/>
  <c r="L181" i="8"/>
  <c r="K356" i="8"/>
  <c r="K374" i="8"/>
  <c r="K309" i="8"/>
  <c r="L124" i="8"/>
  <c r="K317" i="8"/>
  <c r="K190" i="8"/>
  <c r="L133" i="8"/>
  <c r="K369" i="8"/>
  <c r="K370" i="8" s="1"/>
  <c r="J372" i="8"/>
  <c r="L180" i="8"/>
  <c r="K355" i="8"/>
  <c r="L179" i="8"/>
  <c r="K354" i="8"/>
  <c r="K330" i="8"/>
  <c r="L154" i="8"/>
  <c r="K333" i="8"/>
  <c r="L157" i="8"/>
  <c r="E31" i="9"/>
  <c r="F30" i="9"/>
  <c r="B40" i="8" l="1"/>
  <c r="H44" i="8" s="1"/>
  <c r="A26" i="9"/>
  <c r="I113" i="8"/>
  <c r="K71" i="8"/>
  <c r="K73" i="8" s="1"/>
  <c r="I109" i="8"/>
  <c r="I42" i="8" s="1"/>
  <c r="I44" i="8" s="1"/>
  <c r="I78" i="8"/>
  <c r="I73" i="8"/>
  <c r="H78" i="8"/>
  <c r="J71" i="8"/>
  <c r="J73" i="8" s="1"/>
  <c r="J56" i="8"/>
  <c r="L374" i="8"/>
  <c r="L309" i="8"/>
  <c r="L356" i="8"/>
  <c r="L341" i="8"/>
  <c r="L129" i="8"/>
  <c r="L373" i="8" s="1"/>
  <c r="L310" i="8"/>
  <c r="L352" i="8"/>
  <c r="L312" i="8"/>
  <c r="L346" i="8"/>
  <c r="L357" i="8"/>
  <c r="L351" i="8"/>
  <c r="L328" i="8"/>
  <c r="L326" i="8"/>
  <c r="L337" i="8"/>
  <c r="L350" i="8"/>
  <c r="L334" i="8"/>
  <c r="L376" i="8"/>
  <c r="L378" i="8"/>
  <c r="L308" i="8"/>
  <c r="L336" i="8"/>
  <c r="L331" i="8"/>
  <c r="L329" i="8"/>
  <c r="L327" i="8"/>
  <c r="L333" i="8"/>
  <c r="L354" i="8"/>
  <c r="L330" i="8"/>
  <c r="L355" i="8"/>
  <c r="L317" i="8"/>
  <c r="L190" i="8"/>
  <c r="L369" i="8"/>
  <c r="L370" i="8" s="1"/>
  <c r="K368" i="8"/>
  <c r="K372" i="8" s="1"/>
  <c r="K367" i="8"/>
  <c r="K371" i="8" s="1"/>
  <c r="L311" i="8"/>
  <c r="L344" i="8"/>
  <c r="L315" i="8"/>
  <c r="K373" i="8"/>
  <c r="J112" i="8"/>
  <c r="J76" i="8" s="1"/>
  <c r="J78" i="8" s="1"/>
  <c r="L377" i="8"/>
  <c r="L307" i="8"/>
  <c r="L345" i="8"/>
  <c r="L366" i="8"/>
  <c r="L339" i="8"/>
  <c r="L347" i="8"/>
  <c r="L375" i="8"/>
  <c r="L358" i="8"/>
  <c r="L353" i="8"/>
  <c r="L335" i="8"/>
  <c r="J111" i="8"/>
  <c r="L338" i="8"/>
  <c r="L343" i="8"/>
  <c r="L325" i="8"/>
  <c r="L314" i="8"/>
  <c r="L316" i="8"/>
  <c r="L332" i="8"/>
  <c r="D30" i="9"/>
  <c r="B54" i="8"/>
  <c r="K111" i="8" l="1"/>
  <c r="K56" i="8"/>
  <c r="J113" i="8"/>
  <c r="K58" i="8"/>
  <c r="J58" i="8"/>
  <c r="I58" i="8"/>
  <c r="H58" i="8"/>
  <c r="L367" i="8"/>
  <c r="L371" i="8" s="1"/>
  <c r="L368" i="8"/>
  <c r="L372" i="8" s="1"/>
  <c r="K112" i="8"/>
  <c r="K76" i="8" s="1"/>
  <c r="K78" i="8" s="1"/>
  <c r="K109" i="8"/>
  <c r="K42" i="8" s="1"/>
  <c r="K44" i="8" s="1"/>
  <c r="J109" i="8"/>
  <c r="J42" i="8" s="1"/>
  <c r="J44" i="8" s="1"/>
  <c r="K113" i="8" l="1"/>
  <c r="L71" i="8"/>
  <c r="L56" i="8"/>
  <c r="L111" i="8"/>
  <c r="L112" i="8"/>
  <c r="L76" i="8" s="1"/>
  <c r="M73" i="8" l="1"/>
  <c r="L73" i="8"/>
  <c r="L58" i="8"/>
  <c r="M57" i="8"/>
  <c r="M58" i="8" s="1"/>
  <c r="M77" i="8"/>
  <c r="M78" i="8" s="1"/>
  <c r="L78" i="8"/>
  <c r="L113" i="8"/>
  <c r="L109" i="8"/>
  <c r="L42" i="8" s="1"/>
  <c r="B79" i="8" l="1"/>
  <c r="B74" i="8"/>
  <c r="B59" i="8"/>
  <c r="B62" i="8" s="1"/>
  <c r="B64" i="8" s="1"/>
  <c r="L44" i="8"/>
  <c r="M43" i="8"/>
  <c r="M44" i="8" s="1"/>
  <c r="B83" i="8" l="1"/>
  <c r="B85" i="8" s="1"/>
  <c r="B45" i="8"/>
  <c r="B47" i="8" s="1"/>
  <c r="B4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Abdulmalek Almuhanna</author>
  </authors>
  <commentList>
    <comment ref="A2" authorId="0" shapeId="0" xr:uid="{4A71534E-F1D0-421C-A6E9-9025826CBED3}">
      <text>
        <r>
          <rPr>
            <b/>
            <sz val="9"/>
            <color indexed="81"/>
            <rFont val="Tahoma"/>
            <family val="2"/>
          </rPr>
          <t>Abdulmalek Almuhanna:</t>
        </r>
        <r>
          <rPr>
            <sz val="9"/>
            <color indexed="81"/>
            <rFont val="Tahoma"/>
            <family val="2"/>
          </rPr>
          <t xml:space="preserve">
https://finra-markets.morningstar.com/BondCenter/Results.jsp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Dimond</author>
  </authors>
  <commentList>
    <comment ref="E2" authorId="0" shapeId="0" xr:uid="{9BF54A94-DC5D-45ED-ADA2-4BADE422E6B8}">
      <text>
        <r>
          <rPr>
            <sz val="9"/>
            <color indexed="81"/>
            <rFont val="Tahoma"/>
            <family val="2"/>
          </rPr>
          <t>Enterprise Value to EBITDA</t>
        </r>
      </text>
    </comment>
    <comment ref="G3" authorId="0" shapeId="0" xr:uid="{6E8D59CC-C845-42DD-8F25-B404C0DFC704}">
      <text>
        <r>
          <rPr>
            <sz val="9"/>
            <color indexed="81"/>
            <rFont val="Tahoma"/>
            <family val="2"/>
          </rPr>
          <t>Given in billions</t>
        </r>
      </text>
    </comment>
    <comment ref="H3" authorId="0" shapeId="0" xr:uid="{AA59415F-BCE2-4232-8443-178C7B520132}">
      <text>
        <r>
          <rPr>
            <sz val="9"/>
            <color indexed="81"/>
            <rFont val="Tahoma"/>
            <family val="2"/>
          </rPr>
          <t>Given in billions</t>
        </r>
      </text>
    </comment>
    <comment ref="G5" authorId="0" shapeId="0" xr:uid="{5C1EB4D1-8CFB-45D3-9024-A45CBD305699}">
      <text>
        <r>
          <rPr>
            <sz val="9"/>
            <color indexed="81"/>
            <rFont val="Tahoma"/>
            <family val="2"/>
          </rPr>
          <t>Converted from millions to billions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Dimond</author>
    <author>Abdulmalek Almuhanna</author>
  </authors>
  <commentList>
    <comment ref="A4" authorId="0" shapeId="0" xr:uid="{9A37834F-0FB5-4212-A411-B4061CE7EF01}">
      <text>
        <r>
          <rPr>
            <sz val="9"/>
            <color indexed="81"/>
            <rFont val="Tahoma"/>
            <family val="2"/>
          </rPr>
          <t>from treasury.gov for date of interest</t>
        </r>
      </text>
    </comment>
    <comment ref="A5" authorId="0" shapeId="0" xr:uid="{DE3B11B1-6984-497E-B68E-2751A47E257F}">
      <text>
        <r>
          <rPr>
            <sz val="9"/>
            <color indexed="81"/>
            <rFont val="Tahoma"/>
            <family val="2"/>
          </rPr>
          <t xml:space="preserve">Estimated.
</t>
        </r>
        <r>
          <rPr>
            <i/>
            <sz val="9"/>
            <color indexed="81"/>
            <rFont val="Tahoma"/>
            <family val="2"/>
          </rPr>
          <t xml:space="preserve">Consider the implied market return (Rf+MRP) to make sure this is reasonable.
</t>
        </r>
      </text>
    </comment>
    <comment ref="A8" authorId="1" shapeId="0" xr:uid="{C365D0E7-4E5E-44A5-875A-55FEE5E37DFB}">
      <text>
        <r>
          <rPr>
            <b/>
            <sz val="9"/>
            <color indexed="81"/>
            <rFont val="Tahoma"/>
            <family val="2"/>
          </rPr>
          <t>Abdulmalek Almuhanna:</t>
        </r>
        <r>
          <rPr>
            <sz val="9"/>
            <color indexed="81"/>
            <rFont val="Tahoma"/>
            <family val="2"/>
          </rPr>
          <t xml:space="preserve">
divided income tax exp by Income before tax 
</t>
        </r>
      </text>
    </comment>
    <comment ref="A9" authorId="0" shapeId="0" xr:uid="{D7BFB2A3-F733-4586-A6E3-43CBF43240B4}">
      <text>
        <r>
          <rPr>
            <sz val="9"/>
            <color indexed="81"/>
            <rFont val="Tahoma"/>
            <family val="2"/>
          </rPr>
          <t>From "Debt" tab</t>
        </r>
      </text>
    </comment>
    <comment ref="A10" authorId="0" shapeId="0" xr:uid="{EB2CAF85-319D-4948-B6E2-F899267239B4}">
      <text>
        <r>
          <rPr>
            <sz val="9"/>
            <color indexed="81"/>
            <rFont val="Tahoma"/>
            <family val="2"/>
          </rPr>
          <t>Market Capitalization as of the date of interest</t>
        </r>
      </text>
    </comment>
    <comment ref="A15" authorId="0" shapeId="0" xr:uid="{7A9E8AFA-F911-4BBF-8935-4442A3405173}">
      <text>
        <r>
          <rPr>
            <sz val="9"/>
            <color indexed="81"/>
            <rFont val="Tahoma"/>
            <family val="2"/>
          </rPr>
          <t>From "Comparable Firms" tab</t>
        </r>
      </text>
    </comment>
    <comment ref="A16" authorId="0" shapeId="0" xr:uid="{B2EEE404-D94D-4BF9-BC70-964F7523CF13}">
      <text>
        <r>
          <rPr>
            <sz val="9"/>
            <color indexed="81"/>
            <rFont val="Tahoma"/>
            <family val="2"/>
          </rPr>
          <t>Computed using CAPM and Unlevered Beta</t>
        </r>
      </text>
    </comment>
    <comment ref="A19" authorId="0" shapeId="0" xr:uid="{8366C359-49FE-496F-BE67-10075047E1FE}">
      <text>
        <r>
          <rPr>
            <sz val="9"/>
            <color indexed="81"/>
            <rFont val="Tahoma"/>
            <family val="2"/>
          </rPr>
          <t>Computed using Hamada's formula: 
Bu*(1+D/E(1-t))</t>
        </r>
      </text>
    </comment>
    <comment ref="A20" authorId="0" shapeId="0" xr:uid="{903C0137-EB2F-496D-8C61-E579D5D46D96}">
      <text>
        <r>
          <rPr>
            <sz val="9"/>
            <color indexed="81"/>
            <rFont val="Tahoma"/>
            <family val="2"/>
          </rPr>
          <t>Computed using CAPM and Levered Beta</t>
        </r>
      </text>
    </comment>
    <comment ref="A23" authorId="0" shapeId="0" xr:uid="{9EA948C9-D4E2-415D-8765-5CAD52B33A93}">
      <text>
        <r>
          <rPr>
            <sz val="9"/>
            <color indexed="81"/>
            <rFont val="Tahoma"/>
            <family val="2"/>
          </rPr>
          <t>From "Debt" tab</t>
        </r>
      </text>
    </comment>
    <comment ref="A26" authorId="0" shapeId="0" xr:uid="{92A77265-A225-4A66-97AE-38E6784CEF0D}">
      <text>
        <r>
          <rPr>
            <sz val="9"/>
            <color indexed="81"/>
            <rFont val="Tahoma"/>
            <family val="2"/>
          </rPr>
          <t xml:space="preserve">WACC = we*Ke + wd*Kd*(1-t)
where:
we = MV Equity / (MV Equity + MV Debt)
wd = MV Debt / (MV Equity + MV Debt)
</t>
        </r>
        <r>
          <rPr>
            <i/>
            <sz val="9"/>
            <color indexed="81"/>
            <rFont val="Tahoma"/>
            <family val="2"/>
          </rPr>
          <t>If preferred stock exists, include factors for weight of preferred stock and required return for preferred stock.</t>
        </r>
      </text>
    </comment>
  </commentList>
</comments>
</file>

<file path=xl/sharedStrings.xml><?xml version="1.0" encoding="utf-8"?>
<sst xmlns="http://schemas.openxmlformats.org/spreadsheetml/2006/main" count="565" uniqueCount="276">
  <si>
    <t>Dec. 26, 2015</t>
  </si>
  <si>
    <t>Dec. 31, 2016</t>
  </si>
  <si>
    <t>Dec. 30, 2017</t>
  </si>
  <si>
    <t>Dec. 29, 2018</t>
  </si>
  <si>
    <t>Dec. 28, 2019</t>
  </si>
  <si>
    <t>Beyond</t>
  </si>
  <si>
    <t>Assumptions</t>
  </si>
  <si>
    <t>Sales Growth (Future Growth Based on Avg. year 2016-2019, ignorning outlier for 2015)</t>
  </si>
  <si>
    <t>Terminal Growth Rate</t>
  </si>
  <si>
    <t>Interest Expense (Based on Debt*Cost of Debt%)</t>
  </si>
  <si>
    <t>P/E Multiples Valuation</t>
  </si>
  <si>
    <t>Benchmark P/E</t>
  </si>
  <si>
    <t>Earnings available to common shareholders</t>
  </si>
  <si>
    <t>Equity intrinsic value</t>
  </si>
  <si>
    <t>Shares</t>
  </si>
  <si>
    <t>Implied price per share</t>
  </si>
  <si>
    <t>P/S Multiples Valuation</t>
  </si>
  <si>
    <t>Benchmark P/S</t>
  </si>
  <si>
    <t>Sales Revenue</t>
  </si>
  <si>
    <t>EV/EBITDA Multiples Valuation</t>
  </si>
  <si>
    <t>Benchmark EV/EBITDA</t>
  </si>
  <si>
    <t>EBITDA</t>
  </si>
  <si>
    <t>Enterprise value</t>
  </si>
  <si>
    <t>Market value of non-operating assets</t>
  </si>
  <si>
    <t>Market value of debt</t>
  </si>
  <si>
    <t>Equity Cash Flow Model: Discounting Equity Cash Flows at Cost of Equity</t>
  </si>
  <si>
    <t>Ke (Cost of Equity)</t>
  </si>
  <si>
    <t>Equity cash flow (FCFE)</t>
  </si>
  <si>
    <t>Terminal value</t>
  </si>
  <si>
    <t>PV</t>
  </si>
  <si>
    <t>Equity value of operations</t>
  </si>
  <si>
    <t>Corporate Valuation Model: Discounting Free Cash Flows at WACC</t>
  </si>
  <si>
    <t>WACC (Weighted Average Cost of Capital)</t>
  </si>
  <si>
    <t>Free cash flow (FCFF)</t>
  </si>
  <si>
    <t>Value of operations</t>
  </si>
  <si>
    <t>Adjusted Present Value Model: Discounting Unlevered Cash Flows at Unlevered Cost of Capital</t>
  </si>
  <si>
    <t>Ku (Unlevered Cost of Capital)</t>
  </si>
  <si>
    <t>FCFF</t>
  </si>
  <si>
    <t>Unlevered value of operations</t>
  </si>
  <si>
    <t>Interest tax savings = IntExp * tax Rate</t>
  </si>
  <si>
    <t>Value of tax shield</t>
  </si>
  <si>
    <t>Cash Flow Computations</t>
  </si>
  <si>
    <t>Year Ended…</t>
  </si>
  <si>
    <t>Shares Outstanding</t>
  </si>
  <si>
    <t xml:space="preserve">Figures in… </t>
  </si>
  <si>
    <t xml:space="preserve">Millions USD </t>
  </si>
  <si>
    <t>OpInc</t>
  </si>
  <si>
    <t>Tax Rate (t)</t>
  </si>
  <si>
    <t>NOPAT = OpInc x (1-t)</t>
  </si>
  <si>
    <t>Dep &amp; Amort Exp</t>
  </si>
  <si>
    <t>OCF = NOPAT + Dep &amp; Amort</t>
  </si>
  <si>
    <t>ΔNOWC</t>
  </si>
  <si>
    <t>ΔGFA</t>
  </si>
  <si>
    <t>FCFF = OCF - ΔNOWC - ΔGFA</t>
  </si>
  <si>
    <t>Interest Expense, net</t>
  </si>
  <si>
    <t>ΔDebt</t>
  </si>
  <si>
    <t>Int(1-t)</t>
  </si>
  <si>
    <t>PfdCF</t>
  </si>
  <si>
    <t>FCFE = FCFF + ΔDebt - Int(1-t) - PfdCF</t>
  </si>
  <si>
    <t>Int(t)</t>
  </si>
  <si>
    <t>UCF = FCFF + Int(t)</t>
  </si>
  <si>
    <t>Financial Statements &amp; Analysis</t>
  </si>
  <si>
    <t>Consolidated Statement of Income - USD ($) shares in Millions, $ in Millions</t>
  </si>
  <si>
    <t>Dec. 27, 2014</t>
  </si>
  <si>
    <t>Selling, general and administrative expenses</t>
  </si>
  <si>
    <t>Less: Net income attributable to noncontrolling interests</t>
  </si>
  <si>
    <t>Consolidated Balance Sheet - USD ($) $ in Millions</t>
  </si>
  <si>
    <t>ASSETS</t>
  </si>
  <si>
    <t>Cash and cash equivalents</t>
  </si>
  <si>
    <t>Inventories</t>
  </si>
  <si>
    <t xml:space="preserve"> </t>
  </si>
  <si>
    <t>Consolidated Statement of Cash Flows - USD ($) $ in Millions</t>
  </si>
  <si>
    <t>Depreciation Expense (from Note 4)</t>
  </si>
  <si>
    <t>COMMON SIZE INCOME STATEMENT</t>
  </si>
  <si>
    <t>Interest expense</t>
  </si>
  <si>
    <t>COMMON SIZE BALANCE SHEET</t>
  </si>
  <si>
    <t>GROWTH OF INCOME STATEMENT</t>
  </si>
  <si>
    <t>GROWTH OF BALANCE SHEET</t>
  </si>
  <si>
    <t>Useful Ratios &amp; Other Figures</t>
  </si>
  <si>
    <t>PM (Net Profit Margin = NI/Revenue)</t>
  </si>
  <si>
    <t>TAT (Total Asset Turnover = Revenue/Total Assets)</t>
  </si>
  <si>
    <t>EM (Equity Multiplier = Total Assets/Total Equity)</t>
  </si>
  <si>
    <t>ROE (Return on Equity = NI/Total Equity = PM*TAT*EM)</t>
  </si>
  <si>
    <t>ROA (Return on Assets = NI/Total Assets = PM*TAT)</t>
  </si>
  <si>
    <t>d (Dividend Payout Ratio = Dividends/NI … note: result is POSTIVE)</t>
  </si>
  <si>
    <t>b (Retention Ratio = 1-d)</t>
  </si>
  <si>
    <t>SGR (Sustainable Growth Rate = b*ROE)</t>
  </si>
  <si>
    <t>IGR (Internal Growth Rate = b*ROA)</t>
  </si>
  <si>
    <t>TIE (Times Interest Earned Ratio = EBIT/Interest)</t>
  </si>
  <si>
    <t>DOL (Degree of Operating Leverage [point estimate] = Gross Profit/OpInc)</t>
  </si>
  <si>
    <t>Days of sales in cash ( = Cash/[Revenue/365])</t>
  </si>
  <si>
    <t>Inventory Turnover ( = COGS/Avg Inventory … note: Avg Inventory = [BOY+EOY]/2 )</t>
  </si>
  <si>
    <t>Receivables Turnover (= Sales/Avg Receivables … note: Avg Receivables = [BOY+EOY]/2 )</t>
  </si>
  <si>
    <t>Purchases ( = COGS + Δ inventory)</t>
  </si>
  <si>
    <t>Payables Turnover ( = Purchases/Avg Payables … note: Avg Payables = [BOY+EOY]/2 )</t>
  </si>
  <si>
    <t>Days in inventory ( = 365/Inventory Turnover)</t>
  </si>
  <si>
    <t>Days in receivables ( = 365/Receivables Turnover)</t>
  </si>
  <si>
    <t>Operating cycle ( = Days in Inventory + Days in Receivables)</t>
  </si>
  <si>
    <t>Days in payables ( = 365/Paybales Turnover)</t>
  </si>
  <si>
    <t>Cash cycle ( = Operating Cycle - Days in Payables)</t>
  </si>
  <si>
    <t>Debt</t>
  </si>
  <si>
    <t>Yield on Bonds</t>
  </si>
  <si>
    <t>We could also use "synthetic ratings" to estimate the cost of debt…</t>
  </si>
  <si>
    <t>based on TIE (Times Interest Earned ratio)</t>
  </si>
  <si>
    <t>based on Altman Z-Score</t>
  </si>
  <si>
    <t>Cost of Debt</t>
  </si>
  <si>
    <t>Market Value of Debt</t>
  </si>
  <si>
    <t>Balance Sheet Debt</t>
  </si>
  <si>
    <t>Damodaran's method</t>
  </si>
  <si>
    <t>Interest Expense from Income Statement</t>
  </si>
  <si>
    <t>BV Debt from Balance Sheet</t>
  </si>
  <si>
    <t>Assumed Years to maturity</t>
  </si>
  <si>
    <t>Operating Leases</t>
  </si>
  <si>
    <t>PV of Operating Lease Expenses</t>
  </si>
  <si>
    <t>Expected Op. Lease Payments:</t>
  </si>
  <si>
    <t>Y1</t>
  </si>
  <si>
    <t>Y2</t>
  </si>
  <si>
    <t>Y3</t>
  </si>
  <si>
    <t>Y4</t>
  </si>
  <si>
    <t>Y5</t>
  </si>
  <si>
    <t>Y6</t>
  </si>
  <si>
    <t>Comparable Firms</t>
  </si>
  <si>
    <t>Ticker</t>
  </si>
  <si>
    <t>P/E ratio</t>
  </si>
  <si>
    <t>P/S ratio</t>
  </si>
  <si>
    <t>EV/EBITDA ratio</t>
  </si>
  <si>
    <t>Beta</t>
  </si>
  <si>
    <t>Equity (Market Cap)</t>
  </si>
  <si>
    <t>Tax Rate</t>
  </si>
  <si>
    <t>Unlevered Beta</t>
  </si>
  <si>
    <t>Keurig Dr Pepper</t>
  </si>
  <si>
    <t>KDP</t>
  </si>
  <si>
    <t>Monster Beverage Corp.</t>
  </si>
  <si>
    <t>MNST</t>
  </si>
  <si>
    <t>Anheuser-Busch InBev SA/NV</t>
  </si>
  <si>
    <t>BUD</t>
  </si>
  <si>
    <t>Campbell's Soup</t>
  </si>
  <si>
    <t>CPB</t>
  </si>
  <si>
    <t>CAG</t>
  </si>
  <si>
    <t>Kellogg Co.</t>
  </si>
  <si>
    <t>K</t>
  </si>
  <si>
    <t>KHC</t>
  </si>
  <si>
    <t>MDLZ</t>
  </si>
  <si>
    <t>Average of Comparable Firms</t>
  </si>
  <si>
    <t>Median of Comparable Firms</t>
  </si>
  <si>
    <t>Costs of Capital</t>
  </si>
  <si>
    <t>Rf (Risk-free Rate)</t>
  </si>
  <si>
    <t>source: https://www.treasury.gov/resource-center/data-chart-center/interest-rates/Pages/TextView.aspx?data=longtermrateYear&amp;year=2020   TREASURY 20-Yr CMT   on filing date</t>
  </si>
  <si>
    <t>Market Risk-Premium (MRP)</t>
  </si>
  <si>
    <t>MV Debt</t>
  </si>
  <si>
    <t>MV Equity</t>
  </si>
  <si>
    <t>Adjusted Close on filing date</t>
  </si>
  <si>
    <t>Shares outstanding at time of filing</t>
  </si>
  <si>
    <t>Levered Beta ("Bottom-up Beta")</t>
  </si>
  <si>
    <t>Ke (Cost of Equity … Common Equity)</t>
  </si>
  <si>
    <t>Kd (Cost of Debt … Before Tax)</t>
  </si>
  <si>
    <t xml:space="preserve">Remember:                   Rf          &lt;      Kd       &lt;   WACC      &lt;      Ku       &lt;      Ke    </t>
  </si>
  <si>
    <t>12 Months Ended</t>
  </si>
  <si>
    <t>Dec. 31, 2014</t>
  </si>
  <si>
    <t>NET OPERATING REVENUES</t>
  </si>
  <si>
    <t>Cost of goods sold</t>
  </si>
  <si>
    <t>GROSS PROFIT</t>
  </si>
  <si>
    <t>Other operating charges</t>
  </si>
  <si>
    <t>OPERATING INCOME</t>
  </si>
  <si>
    <t>Interest income</t>
  </si>
  <si>
    <t>Equity income (loss) - net</t>
  </si>
  <si>
    <t>Other income (loss) - net</t>
  </si>
  <si>
    <t>INCOME BEFORE INCOME TAXES</t>
  </si>
  <si>
    <t>Income taxes</t>
  </si>
  <si>
    <t>CONSOLIDATED NET INCOME</t>
  </si>
  <si>
    <t>NET INCOME ATTRIBUTABLE TO SHAREOWNERS OF THE COCA-COLA COMPANY</t>
  </si>
  <si>
    <t>BASIC NET INCOME PER SHARE (in dollars per share)</t>
  </si>
  <si>
    <t>DILUTED NET INCOME PER SHARE (in dollars per share)</t>
  </si>
  <si>
    <t>AVERAGE SHARES OUTSTANDING (in shares)</t>
  </si>
  <si>
    <t>Effect of dilutive securities (in shares)</t>
  </si>
  <si>
    <t>AVERAGE SHARES OUTSTANDING ASSUMING DILUTION (in shares)</t>
  </si>
  <si>
    <t>CURRENT ASSETS</t>
  </si>
  <si>
    <t>Short-term investments</t>
  </si>
  <si>
    <t>TOTAL CASH, CASH EQUIVALENTS AND SHORT-TERM INVESTMENTS</t>
  </si>
  <si>
    <t>Marketable securities</t>
  </si>
  <si>
    <t>Prepaid expenses and other assets</t>
  </si>
  <si>
    <t>Assets held for sale</t>
  </si>
  <si>
    <t>TOTAL CURRENT ASSETS</t>
  </si>
  <si>
    <t>EQUITY METHOD INVESTMENTS</t>
  </si>
  <si>
    <t>OTHER INVESTMENTS</t>
  </si>
  <si>
    <t>OTHER ASSETS</t>
  </si>
  <si>
    <t>PROPERTY, PLANT AND EQUIPMENT - net</t>
  </si>
  <si>
    <t>TRADEMARKS WITH INDEFINITE LIVES</t>
  </si>
  <si>
    <t>BOTTLERS' FRANCHISE RIGHTS WITH INDEFINITE LIVES</t>
  </si>
  <si>
    <t>GOODWILL</t>
  </si>
  <si>
    <t>OTHER INTANGIBLE ASSETS</t>
  </si>
  <si>
    <t>TOTAL ASSETS</t>
  </si>
  <si>
    <t>CURRENT LIABILITIES</t>
  </si>
  <si>
    <t>Accounts payable and accrued expenses</t>
  </si>
  <si>
    <t>Loans and notes payable</t>
  </si>
  <si>
    <t>Current maturities of long-term debt</t>
  </si>
  <si>
    <t>Accrued income taxes</t>
  </si>
  <si>
    <t>Liabilities held for sale</t>
  </si>
  <si>
    <t>TOTAL CURRENT LIABILITIES</t>
  </si>
  <si>
    <t>LONG-TERM DEBT</t>
  </si>
  <si>
    <t>OTHER LIABILITIES</t>
  </si>
  <si>
    <t>DEFERRED INCOME TAXES</t>
  </si>
  <si>
    <t>THE COCA-COLA COMPANY SHAREOWNERS' EQUITY</t>
  </si>
  <si>
    <t>Common stock, $0.25 par value; Authorized — 11,200 shares; Issued — 7,040 and 7,040 shares, respectively</t>
  </si>
  <si>
    <t>Capital surplus</t>
  </si>
  <si>
    <t>Reinvested earnings</t>
  </si>
  <si>
    <t>Accumulated other comprehensive income (loss)</t>
  </si>
  <si>
    <t>EQUITY ATTRIBUTABLE TO SHAREOWNERS OF THE COCA-COLA COMPANY</t>
  </si>
  <si>
    <t>EQUITY ATTRIBUTABLE TO NONCONTROLLING INTERESTS</t>
  </si>
  <si>
    <t>TOTAL EQUITY</t>
  </si>
  <si>
    <t>TOTAL LIABILITIES AND EQUITY</t>
  </si>
  <si>
    <t>CONSOLIDATED STATEMENTS OF INCOME - USD ($)</t>
  </si>
  <si>
    <t>shares in Millions, $ in Millions</t>
  </si>
  <si>
    <t>Dec. 31, 2015</t>
  </si>
  <si>
    <t>CONSOLIDATED BALANCE SHEETS - USD ($)</t>
  </si>
  <si>
    <t>$ in Millions</t>
  </si>
  <si>
    <t>Trade accounts receivable, less allowances of $466 and $352, respectively</t>
  </si>
  <si>
    <t>Treasury stock, at cost — 2,752 and 2,716 shares, respectively</t>
  </si>
  <si>
    <t>CONSOLIDATED STATEMENTS OF CASH FLOWS - USD ($)</t>
  </si>
  <si>
    <t>OPERATING ACTIVITIES</t>
  </si>
  <si>
    <t>Depreciation and amortization</t>
  </si>
  <si>
    <t>Stock-based compensation expense</t>
  </si>
  <si>
    <t>Deferred income taxes</t>
  </si>
  <si>
    <t>Equity (income) loss - net of dividends</t>
  </si>
  <si>
    <t>Foreign currency adjustments</t>
  </si>
  <si>
    <t>Significant (gains) losses on sales of assets - net</t>
  </si>
  <si>
    <t>Other items</t>
  </si>
  <si>
    <t>Net change in operating assets and liabilities</t>
  </si>
  <si>
    <t>Net cash provided by operating activities</t>
  </si>
  <si>
    <t>INVESTING ACTIVITIES</t>
  </si>
  <si>
    <t>Purchases of investments</t>
  </si>
  <si>
    <t>Proceeds from disposals of investments</t>
  </si>
  <si>
    <t>Acquisitions of businesses, equity method investments and nonmarketable securities</t>
  </si>
  <si>
    <t>Proceeds from disposals of businesses, equity method investments and nonmarkatable securities</t>
  </si>
  <si>
    <t>Purchases of property, plant and equipment</t>
  </si>
  <si>
    <t>Proceeds from disposals of property, plant and equipment</t>
  </si>
  <si>
    <t>Other investing activities</t>
  </si>
  <si>
    <t>Net cash provided by (used in) investing activities</t>
  </si>
  <si>
    <t>FINANCING ACTIVITIES</t>
  </si>
  <si>
    <t>Issuances of debt</t>
  </si>
  <si>
    <t>Payments of debt</t>
  </si>
  <si>
    <t>Issuances of stock</t>
  </si>
  <si>
    <t>Purchases of stock for treasury</t>
  </si>
  <si>
    <t>Dividends</t>
  </si>
  <si>
    <t>Other financing activities</t>
  </si>
  <si>
    <t>Net cash provided by (used in) financing activities</t>
  </si>
  <si>
    <t>EFFECT OF EXCHANGE RATE CHANGES ON CASH AND CASH EQUIVALENTS</t>
  </si>
  <si>
    <t>CASH AND CASH EQUIVALENTS</t>
  </si>
  <si>
    <t>Net increase (decrease) during the year</t>
  </si>
  <si>
    <t>Balance at beginning of year</t>
  </si>
  <si>
    <t>Balance at end of year</t>
  </si>
  <si>
    <t>Dec. 31, 2017</t>
  </si>
  <si>
    <t>Dec. 31, 2018</t>
  </si>
  <si>
    <t>Dec. 31, 2019</t>
  </si>
  <si>
    <t>PepsiCo Inc</t>
  </si>
  <si>
    <t>done!!</t>
  </si>
  <si>
    <r>
      <t xml:space="preserve">sources: </t>
    </r>
    <r>
      <rPr>
        <i/>
        <sz val="11"/>
        <color theme="1"/>
        <rFont val="Calibri"/>
        <family val="2"/>
        <scheme val="minor"/>
      </rPr>
      <t>https://finance.yahoo.com/</t>
    </r>
  </si>
  <si>
    <t xml:space="preserve">Starbucks Corporation </t>
  </si>
  <si>
    <t>SBUX</t>
  </si>
  <si>
    <t>Conagra Brands, Inc.</t>
  </si>
  <si>
    <t>The Kraft Heinz Company (KHC)</t>
  </si>
  <si>
    <t>Mondelez International, Inc.</t>
  </si>
  <si>
    <t>PEP</t>
  </si>
  <si>
    <t>Adjusted Close on filing date (08/14/2020) YahooFinance</t>
  </si>
  <si>
    <t>Based on data listed under "Credit Facilities and Long-Term Contractual Commitments" in Coca cola 10-k</t>
  </si>
  <si>
    <t>Median</t>
  </si>
  <si>
    <t>Dec. 31, 2020</t>
  </si>
  <si>
    <t>Dec. 31, 2021</t>
  </si>
  <si>
    <t>Dec. 31, 2022</t>
  </si>
  <si>
    <t>Dec. 31, 2023</t>
  </si>
  <si>
    <t>Dec. 31, 2024</t>
  </si>
  <si>
    <t>Dec. 28, 2020</t>
  </si>
  <si>
    <t>Dec. 28, 2021</t>
  </si>
  <si>
    <t>Dec. 28, 2022</t>
  </si>
  <si>
    <t>Dec. 28, 2023</t>
  </si>
  <si>
    <t>Dec. 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</si>
</sst>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_);_(* \(#,##0.0000\);_(* &quot;-&quot;??_);_(@_)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_(&quot;$ &quot;#,##0_);_(&quot;$ &quot;\(#,##0\)"/>
    <numFmt numFmtId="170" formatCode="_(&quot;$ &quot;#,##0.00_);_(&quot;$ &quot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4"/>
      <name val="Calibri"/>
      <family val="2"/>
      <scheme val="minor"/>
    </font>
    <font>
      <i/>
      <sz val="11"/>
      <color theme="4" tint="0.39997558519241921"/>
      <name val="Calibri"/>
      <family val="2"/>
      <scheme val="minor"/>
    </font>
    <font>
      <i/>
      <sz val="9"/>
      <color indexed="81"/>
      <name val="Tahoma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11"/>
      <color rgb="FF44444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2" fillId="0" borderId="0" xfId="0" applyFont="1"/>
    <xf numFmtId="9" fontId="0" fillId="0" borderId="0" xfId="3" applyFont="1"/>
    <xf numFmtId="164" fontId="0" fillId="0" borderId="0" xfId="3" applyNumberFormat="1" applyFont="1"/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65" fontId="0" fillId="0" borderId="0" xfId="1" applyNumberFormat="1" applyFont="1"/>
    <xf numFmtId="0" fontId="0" fillId="0" borderId="0" xfId="0"/>
    <xf numFmtId="10" fontId="0" fillId="0" borderId="0" xfId="3" applyNumberFormat="1" applyFont="1"/>
    <xf numFmtId="10" fontId="0" fillId="0" borderId="0" xfId="0" applyNumberFormat="1"/>
    <xf numFmtId="9" fontId="0" fillId="0" borderId="0" xfId="3" applyNumberFormat="1" applyFont="1"/>
    <xf numFmtId="166" fontId="5" fillId="2" borderId="0" xfId="0" applyNumberFormat="1" applyFont="1" applyFill="1"/>
    <xf numFmtId="166" fontId="2" fillId="0" borderId="0" xfId="0" applyNumberFormat="1" applyFont="1" applyAlignment="1">
      <alignment horizontal="right"/>
    </xf>
    <xf numFmtId="166" fontId="0" fillId="0" borderId="0" xfId="0" applyNumberFormat="1"/>
    <xf numFmtId="166" fontId="5" fillId="0" borderId="0" xfId="0" applyNumberFormat="1" applyFont="1" applyFill="1"/>
    <xf numFmtId="10" fontId="3" fillId="0" borderId="0" xfId="0" applyNumberFormat="1" applyFont="1"/>
    <xf numFmtId="41" fontId="0" fillId="0" borderId="0" xfId="0" applyNumberFormat="1"/>
    <xf numFmtId="44" fontId="2" fillId="0" borderId="0" xfId="2" applyFont="1"/>
    <xf numFmtId="2" fontId="0" fillId="3" borderId="0" xfId="0" applyNumberFormat="1" applyFill="1"/>
    <xf numFmtId="0" fontId="0" fillId="0" borderId="0" xfId="0" applyFill="1"/>
    <xf numFmtId="167" fontId="0" fillId="0" borderId="0" xfId="1" applyNumberFormat="1" applyFont="1"/>
    <xf numFmtId="0" fontId="0" fillId="0" borderId="0" xfId="0" applyFont="1"/>
    <xf numFmtId="167" fontId="2" fillId="0" borderId="0" xfId="1" applyNumberFormat="1" applyFont="1"/>
    <xf numFmtId="10" fontId="2" fillId="0" borderId="0" xfId="3" applyNumberFormat="1" applyFont="1"/>
    <xf numFmtId="10" fontId="0" fillId="4" borderId="0" xfId="0" applyNumberFormat="1" applyFill="1"/>
    <xf numFmtId="10" fontId="0" fillId="4" borderId="0" xfId="3" applyNumberFormat="1" applyFont="1" applyFill="1"/>
    <xf numFmtId="0" fontId="0" fillId="0" borderId="0" xfId="0" applyAlignment="1">
      <alignment horizontal="right"/>
    </xf>
    <xf numFmtId="167" fontId="0" fillId="5" borderId="0" xfId="1" applyNumberFormat="1" applyFont="1" applyFill="1"/>
    <xf numFmtId="167" fontId="0" fillId="6" borderId="0" xfId="1" applyNumberFormat="1" applyFont="1" applyFill="1"/>
    <xf numFmtId="44" fontId="3" fillId="4" borderId="0" xfId="2" applyFont="1" applyFill="1"/>
    <xf numFmtId="3" fontId="3" fillId="4" borderId="0" xfId="0" applyNumberFormat="1" applyFont="1" applyFill="1"/>
    <xf numFmtId="3" fontId="3" fillId="0" borderId="0" xfId="0" applyNumberFormat="1" applyFont="1"/>
    <xf numFmtId="165" fontId="0" fillId="5" borderId="0" xfId="1" applyNumberFormat="1" applyFont="1" applyFill="1"/>
    <xf numFmtId="10" fontId="0" fillId="6" borderId="0" xfId="3" applyNumberFormat="1" applyFont="1" applyFill="1"/>
    <xf numFmtId="165" fontId="0" fillId="6" borderId="0" xfId="1" applyNumberFormat="1" applyFont="1" applyFill="1"/>
    <xf numFmtId="10" fontId="0" fillId="5" borderId="0" xfId="3" applyNumberFormat="1" applyFont="1" applyFill="1"/>
    <xf numFmtId="0" fontId="8" fillId="0" borderId="0" xfId="0" applyFont="1"/>
    <xf numFmtId="10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5" borderId="0" xfId="0" applyNumberFormat="1" applyFont="1" applyFill="1"/>
    <xf numFmtId="168" fontId="0" fillId="6" borderId="0" xfId="0" applyNumberFormat="1" applyFill="1"/>
    <xf numFmtId="168" fontId="0" fillId="6" borderId="0" xfId="1" applyNumberFormat="1" applyFont="1" applyFill="1"/>
    <xf numFmtId="168" fontId="3" fillId="4" borderId="0" xfId="1" applyNumberFormat="1" applyFont="1" applyFill="1"/>
    <xf numFmtId="0" fontId="3" fillId="4" borderId="0" xfId="0" applyFont="1" applyFill="1"/>
    <xf numFmtId="43" fontId="0" fillId="0" borderId="0" xfId="1" applyFont="1" applyAlignment="1">
      <alignment horizontal="right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3" fontId="0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43" fontId="0" fillId="7" borderId="0" xfId="1" applyFont="1" applyFill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43" fontId="5" fillId="6" borderId="0" xfId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5" fontId="3" fillId="0" borderId="0" xfId="1" applyNumberFormat="1" applyFont="1"/>
    <xf numFmtId="43" fontId="3" fillId="6" borderId="0" xfId="1" applyFont="1" applyFill="1" applyAlignment="1">
      <alignment horizontal="center"/>
    </xf>
    <xf numFmtId="43" fontId="0" fillId="3" borderId="0" xfId="0" applyNumberFormat="1" applyFill="1"/>
    <xf numFmtId="0" fontId="5" fillId="9" borderId="0" xfId="0" applyFont="1" applyFill="1"/>
    <xf numFmtId="168" fontId="0" fillId="0" borderId="0" xfId="1" applyNumberFormat="1" applyFont="1"/>
    <xf numFmtId="43" fontId="0" fillId="0" borderId="0" xfId="0" applyNumberFormat="1"/>
    <xf numFmtId="166" fontId="5" fillId="2" borderId="0" xfId="0" applyNumberFormat="1" applyFont="1" applyFill="1" applyAlignment="1">
      <alignment wrapText="1"/>
    </xf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Font="1" applyFill="1" applyAlignment="1">
      <alignment vertical="top" wrapText="1"/>
    </xf>
    <xf numFmtId="9" fontId="0" fillId="0" borderId="0" xfId="0" applyNumberFormat="1"/>
    <xf numFmtId="1" fontId="0" fillId="0" borderId="0" xfId="0" applyNumberFormat="1"/>
    <xf numFmtId="43" fontId="7" fillId="0" borderId="0" xfId="0" applyNumberFormat="1" applyFont="1"/>
    <xf numFmtId="43" fontId="4" fillId="0" borderId="0" xfId="0" applyNumberFormat="1" applyFont="1"/>
    <xf numFmtId="6" fontId="0" fillId="0" borderId="0" xfId="0" applyNumberFormat="1"/>
    <xf numFmtId="3" fontId="0" fillId="0" borderId="0" xfId="0" applyNumberFormat="1"/>
    <xf numFmtId="8" fontId="0" fillId="0" borderId="0" xfId="0" applyNumberFormat="1"/>
    <xf numFmtId="169" fontId="11" fillId="0" borderId="0" xfId="0" applyNumberFormat="1" applyFont="1" applyAlignment="1">
      <alignment horizontal="right" vertical="top"/>
    </xf>
    <xf numFmtId="37" fontId="11" fillId="0" borderId="0" xfId="0" applyNumberFormat="1" applyFont="1" applyAlignment="1">
      <alignment horizontal="right" vertical="top"/>
    </xf>
    <xf numFmtId="170" fontId="11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horizontal="right" vertical="top"/>
    </xf>
    <xf numFmtId="0" fontId="0" fillId="0" borderId="0" xfId="0" applyNumberFormat="1"/>
    <xf numFmtId="0" fontId="0" fillId="0" borderId="0" xfId="1" applyNumberFormat="1" applyFont="1"/>
    <xf numFmtId="0" fontId="0" fillId="0" borderId="0" xfId="0" applyNumberFormat="1" applyFill="1"/>
    <xf numFmtId="0" fontId="3" fillId="0" borderId="0" xfId="0" applyNumberFormat="1" applyFont="1"/>
    <xf numFmtId="0" fontId="0" fillId="0" borderId="0" xfId="3" applyNumberFormat="1" applyFont="1"/>
    <xf numFmtId="0" fontId="2" fillId="0" borderId="0" xfId="1" applyNumberFormat="1" applyFont="1"/>
    <xf numFmtId="0" fontId="0" fillId="0" borderId="0" xfId="0" applyNumberFormat="1" applyAlignment="1">
      <alignment wrapText="1"/>
    </xf>
    <xf numFmtId="10" fontId="0" fillId="0" borderId="0" xfId="3" applyNumberFormat="1" applyFont="1" applyAlignment="1">
      <alignment horizontal="center"/>
    </xf>
    <xf numFmtId="43" fontId="1" fillId="0" borderId="0" xfId="1" applyNumberFormat="1" applyFont="1" applyAlignment="1">
      <alignment horizontal="center"/>
    </xf>
    <xf numFmtId="43" fontId="0" fillId="0" borderId="0" xfId="1" applyNumberFormat="1" applyFont="1"/>
    <xf numFmtId="0" fontId="13" fillId="0" borderId="0" xfId="0" applyFont="1"/>
    <xf numFmtId="43" fontId="0" fillId="0" borderId="0" xfId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D6A3-0398-4198-9BB9-D746BEF0F354}">
  <dimension ref="A1:M386"/>
  <sheetViews>
    <sheetView tabSelected="1" topLeftCell="B256" workbookViewId="0">
      <pane ySplit="6060" topLeftCell="A248"/>
      <selection activeCell="G66" sqref="G66"/>
      <selection pane="bottomLeft" activeCell="D248" sqref="D248"/>
    </sheetView>
  </sheetViews>
  <sheetFormatPr defaultColWidth="8.7109375" defaultRowHeight="15" x14ac:dyDescent="0.25"/>
  <cols>
    <col min="1" max="1" width="46.42578125" style="8" customWidth="1"/>
    <col min="2" max="2" width="12.140625" style="8" customWidth="1"/>
    <col min="3" max="5" width="19" style="8" bestFit="1" customWidth="1"/>
    <col min="6" max="6" width="19" style="82" bestFit="1" customWidth="1"/>
    <col min="7" max="7" width="19" style="8" bestFit="1" customWidth="1"/>
    <col min="8" max="12" width="14.28515625" style="8" bestFit="1" customWidth="1"/>
    <col min="13" max="13" width="11.28515625" style="8" customWidth="1"/>
    <col min="14" max="16384" width="8.7109375" style="8"/>
  </cols>
  <sheetData>
    <row r="1" spans="1:13" x14ac:dyDescent="0.25">
      <c r="C1" s="82" t="s">
        <v>213</v>
      </c>
      <c r="D1" s="82" t="s">
        <v>1</v>
      </c>
      <c r="E1" s="8" t="s">
        <v>251</v>
      </c>
      <c r="F1" s="8" t="s">
        <v>252</v>
      </c>
      <c r="G1" s="8" t="s">
        <v>253</v>
      </c>
      <c r="H1" s="27">
        <v>2020</v>
      </c>
      <c r="I1" s="27">
        <v>2021</v>
      </c>
      <c r="J1" s="27">
        <v>2022</v>
      </c>
      <c r="K1" s="27">
        <v>2023</v>
      </c>
      <c r="L1" s="27">
        <v>2024</v>
      </c>
      <c r="M1" s="27" t="s">
        <v>5</v>
      </c>
    </row>
    <row r="2" spans="1:13" x14ac:dyDescent="0.25">
      <c r="A2" s="12" t="s">
        <v>6</v>
      </c>
    </row>
    <row r="3" spans="1:13" x14ac:dyDescent="0.25">
      <c r="A3" s="14" t="s">
        <v>7</v>
      </c>
      <c r="C3" s="71">
        <f>C307</f>
        <v>-3.7045088916909386E-2</v>
      </c>
      <c r="D3" s="71">
        <f t="shared" ref="D3:G3" si="0">D307</f>
        <v>-5.4883279902469884E-2</v>
      </c>
      <c r="E3" s="71">
        <f t="shared" si="0"/>
        <v>-0.13498793684160237</v>
      </c>
      <c r="F3" s="82">
        <f t="shared" si="0"/>
        <v>-5.2800176736993221E-2</v>
      </c>
      <c r="G3" s="71">
        <f t="shared" si="0"/>
        <v>8.647230320699717E-2</v>
      </c>
      <c r="H3" s="10">
        <f>AVERAGE($D$3:$G$3)</f>
        <v>-3.9049772568517077E-2</v>
      </c>
      <c r="I3" s="10">
        <f t="shared" ref="I3:M3" si="1">AVERAGE($D$3:$G$3)</f>
        <v>-3.9049772568517077E-2</v>
      </c>
      <c r="J3" s="10">
        <f t="shared" si="1"/>
        <v>-3.9049772568517077E-2</v>
      </c>
      <c r="K3" s="10">
        <f t="shared" si="1"/>
        <v>-3.9049772568517077E-2</v>
      </c>
      <c r="L3" s="10">
        <f t="shared" si="1"/>
        <v>-3.9049772568517077E-2</v>
      </c>
      <c r="M3" s="10">
        <f t="shared" si="1"/>
        <v>-3.9049772568517077E-2</v>
      </c>
    </row>
    <row r="4" spans="1:13" x14ac:dyDescent="0.25">
      <c r="A4" s="14" t="s">
        <v>8</v>
      </c>
      <c r="M4" s="10">
        <f>M3</f>
        <v>-3.9049772568517077E-2</v>
      </c>
    </row>
    <row r="5" spans="1:13" x14ac:dyDescent="0.25">
      <c r="A5" s="14" t="s">
        <v>9</v>
      </c>
      <c r="H5" s="10">
        <f>'Costs of Capital'!$A$23</f>
        <v>2.9000000000000001E-2</v>
      </c>
      <c r="I5" s="10">
        <f>'Costs of Capital'!$A$23</f>
        <v>2.9000000000000001E-2</v>
      </c>
      <c r="J5" s="10">
        <f>'Costs of Capital'!$A$23</f>
        <v>2.9000000000000001E-2</v>
      </c>
      <c r="K5" s="10">
        <f>'Costs of Capital'!$A$23</f>
        <v>2.9000000000000001E-2</v>
      </c>
      <c r="L5" s="10">
        <f>'Costs of Capital'!$A$23</f>
        <v>2.9000000000000001E-2</v>
      </c>
      <c r="M5" s="10"/>
    </row>
    <row r="6" spans="1:13" x14ac:dyDescent="0.25">
      <c r="A6" s="14"/>
      <c r="M6" s="10"/>
    </row>
    <row r="7" spans="1:13" x14ac:dyDescent="0.25">
      <c r="A7" s="14"/>
    </row>
    <row r="8" spans="1:13" x14ac:dyDescent="0.25">
      <c r="A8" s="12" t="s">
        <v>10</v>
      </c>
    </row>
    <row r="9" spans="1:13" x14ac:dyDescent="0.25">
      <c r="A9" s="13"/>
    </row>
    <row r="10" spans="1:13" x14ac:dyDescent="0.25">
      <c r="A10" s="13" t="s">
        <v>11</v>
      </c>
      <c r="B10" s="19">
        <f>'Comparable Firms'!C13</f>
        <v>30.390999999999998</v>
      </c>
    </row>
    <row r="11" spans="1:13" x14ac:dyDescent="0.25">
      <c r="A11" s="13" t="s">
        <v>12</v>
      </c>
      <c r="B11" s="17">
        <f>G136</f>
        <v>8920</v>
      </c>
      <c r="C11" s="64"/>
      <c r="D11" s="64"/>
      <c r="E11" s="64"/>
      <c r="F11" s="83"/>
      <c r="G11" s="64"/>
    </row>
    <row r="12" spans="1:13" x14ac:dyDescent="0.25">
      <c r="A12" s="13" t="s">
        <v>13</v>
      </c>
      <c r="B12" s="17">
        <f>B10*B11</f>
        <v>271087.71999999997</v>
      </c>
      <c r="C12" s="64"/>
      <c r="D12" s="64"/>
      <c r="E12" s="64"/>
      <c r="F12" s="83"/>
      <c r="G12" s="64"/>
    </row>
    <row r="13" spans="1:13" x14ac:dyDescent="0.25">
      <c r="A13" s="13" t="s">
        <v>14</v>
      </c>
      <c r="B13" s="17">
        <f>'Costs of Capital'!$B$12/1000000</f>
        <v>4316</v>
      </c>
      <c r="C13" s="64"/>
      <c r="D13" s="64"/>
      <c r="E13" s="64"/>
      <c r="F13" s="83"/>
      <c r="G13" s="64"/>
    </row>
    <row r="14" spans="1:13" x14ac:dyDescent="0.25">
      <c r="A14" s="13" t="s">
        <v>15</v>
      </c>
      <c r="B14" s="18">
        <f>B12/B13</f>
        <v>62.809944392956432</v>
      </c>
      <c r="C14" s="65"/>
      <c r="D14" s="65"/>
      <c r="E14" s="65"/>
      <c r="G14" s="65"/>
    </row>
    <row r="15" spans="1:13" x14ac:dyDescent="0.25">
      <c r="A15" s="14"/>
    </row>
    <row r="16" spans="1:13" x14ac:dyDescent="0.25">
      <c r="A16" s="14"/>
    </row>
    <row r="17" spans="1:7" x14ac:dyDescent="0.25">
      <c r="A17" s="12" t="s">
        <v>16</v>
      </c>
    </row>
    <row r="18" spans="1:7" x14ac:dyDescent="0.25">
      <c r="A18" s="13"/>
    </row>
    <row r="19" spans="1:7" x14ac:dyDescent="0.25">
      <c r="A19" s="13" t="s">
        <v>17</v>
      </c>
      <c r="B19" s="62">
        <f>'Comparable Firms'!D13</f>
        <v>3.3099999999999996</v>
      </c>
    </row>
    <row r="20" spans="1:7" x14ac:dyDescent="0.25">
      <c r="A20" s="13" t="s">
        <v>18</v>
      </c>
      <c r="B20" s="17">
        <f>G122</f>
        <v>37266</v>
      </c>
      <c r="C20" s="69"/>
      <c r="D20" s="69"/>
      <c r="E20" s="69"/>
      <c r="G20" s="69"/>
    </row>
    <row r="21" spans="1:7" x14ac:dyDescent="0.25">
      <c r="A21" s="13" t="s">
        <v>13</v>
      </c>
      <c r="B21" s="17">
        <f>$B$19*B20</f>
        <v>123350.45999999999</v>
      </c>
      <c r="C21" s="17"/>
      <c r="D21" s="17"/>
      <c r="E21" s="17"/>
      <c r="G21" s="17"/>
    </row>
    <row r="22" spans="1:7" x14ac:dyDescent="0.25">
      <c r="A22" s="13" t="s">
        <v>14</v>
      </c>
      <c r="B22" s="17">
        <f>'Costs of Capital'!$B$12/1000000</f>
        <v>4316</v>
      </c>
      <c r="C22" s="69"/>
      <c r="D22" s="69"/>
      <c r="E22" s="69"/>
      <c r="G22" s="69"/>
    </row>
    <row r="23" spans="1:7" x14ac:dyDescent="0.25">
      <c r="A23" s="13" t="s">
        <v>15</v>
      </c>
      <c r="B23" s="18">
        <f>B21/B22</f>
        <v>28.579810009267838</v>
      </c>
      <c r="C23" s="67"/>
      <c r="D23" s="67"/>
      <c r="E23" s="67"/>
      <c r="G23" s="67"/>
    </row>
    <row r="24" spans="1:7" x14ac:dyDescent="0.25">
      <c r="A24" s="14"/>
    </row>
    <row r="25" spans="1:7" x14ac:dyDescent="0.25">
      <c r="A25" s="14"/>
    </row>
    <row r="26" spans="1:7" x14ac:dyDescent="0.25">
      <c r="A26" s="12" t="s">
        <v>19</v>
      </c>
    </row>
    <row r="27" spans="1:7" x14ac:dyDescent="0.25">
      <c r="A27" s="13"/>
    </row>
    <row r="28" spans="1:7" x14ac:dyDescent="0.25">
      <c r="A28" s="13" t="s">
        <v>20</v>
      </c>
      <c r="B28" s="62">
        <f>'Comparable Firms'!E13</f>
        <v>20.619</v>
      </c>
    </row>
    <row r="29" spans="1:7" x14ac:dyDescent="0.25">
      <c r="A29" s="13" t="s">
        <v>21</v>
      </c>
      <c r="B29" s="17">
        <f>G127+G191+G126</f>
        <v>11909</v>
      </c>
    </row>
    <row r="30" spans="1:7" x14ac:dyDescent="0.25">
      <c r="A30" s="13" t="s">
        <v>22</v>
      </c>
      <c r="B30" s="17">
        <f>B28*B29</f>
        <v>245551.671</v>
      </c>
      <c r="C30" s="65"/>
      <c r="D30" s="65"/>
      <c r="E30" s="65"/>
      <c r="G30" s="65"/>
    </row>
    <row r="31" spans="1:7" x14ac:dyDescent="0.25">
      <c r="A31" s="13" t="s">
        <v>23</v>
      </c>
      <c r="B31" s="17">
        <f>G149+G148</f>
        <v>7947</v>
      </c>
    </row>
    <row r="32" spans="1:7" x14ac:dyDescent="0.25">
      <c r="A32" s="13" t="s">
        <v>24</v>
      </c>
      <c r="B32" s="17">
        <f>Debt!A14</f>
        <v>33277.950834091178</v>
      </c>
    </row>
    <row r="33" spans="1:13" x14ac:dyDescent="0.25">
      <c r="A33" s="13" t="s">
        <v>13</v>
      </c>
      <c r="B33" s="17">
        <f>B30+B31-B32</f>
        <v>220220.72016590883</v>
      </c>
      <c r="C33" s="65"/>
      <c r="D33" s="65"/>
      <c r="E33" s="65"/>
      <c r="G33" s="65"/>
    </row>
    <row r="34" spans="1:13" x14ac:dyDescent="0.25">
      <c r="A34" s="13" t="s">
        <v>14</v>
      </c>
      <c r="B34" s="17">
        <f>'Costs of Capital'!$B$12/1000000</f>
        <v>4316</v>
      </c>
      <c r="C34" s="69"/>
      <c r="D34" s="69"/>
      <c r="E34" s="69"/>
      <c r="G34" s="69"/>
    </row>
    <row r="35" spans="1:13" x14ac:dyDescent="0.25">
      <c r="A35" s="13" t="s">
        <v>15</v>
      </c>
      <c r="B35" s="18">
        <f>B33/B34</f>
        <v>51.024263245113261</v>
      </c>
      <c r="C35" s="67"/>
      <c r="D35" s="67"/>
      <c r="E35" s="67"/>
      <c r="G35" s="67"/>
    </row>
    <row r="36" spans="1:13" x14ac:dyDescent="0.25">
      <c r="A36" s="14"/>
    </row>
    <row r="37" spans="1:13" x14ac:dyDescent="0.25">
      <c r="A37" s="14"/>
    </row>
    <row r="38" spans="1:13" ht="30" x14ac:dyDescent="0.25">
      <c r="A38" s="66" t="s">
        <v>25</v>
      </c>
    </row>
    <row r="39" spans="1:13" x14ac:dyDescent="0.25">
      <c r="A39" s="15"/>
    </row>
    <row r="40" spans="1:13" x14ac:dyDescent="0.25">
      <c r="A40" s="13" t="s">
        <v>26</v>
      </c>
      <c r="B40" s="10">
        <f>'Costs of Capital'!A20</f>
        <v>5.7254484643404727E-2</v>
      </c>
    </row>
    <row r="41" spans="1:13" x14ac:dyDescent="0.25">
      <c r="A41" s="14"/>
      <c r="H41" s="2">
        <v>1</v>
      </c>
      <c r="I41" s="2">
        <v>2</v>
      </c>
      <c r="J41" s="2">
        <v>3</v>
      </c>
      <c r="K41" s="2">
        <v>4</v>
      </c>
      <c r="L41" s="2">
        <v>5</v>
      </c>
    </row>
    <row r="42" spans="1:13" x14ac:dyDescent="0.25">
      <c r="A42" s="13" t="s">
        <v>27</v>
      </c>
      <c r="C42" s="68">
        <f t="shared" ref="C42:L42" si="2">C109</f>
        <v>19717.000208224883</v>
      </c>
      <c r="D42" s="68">
        <f t="shared" si="2"/>
        <v>12624.444198623401</v>
      </c>
      <c r="E42" s="68">
        <f t="shared" si="2"/>
        <v>5378.3499274310589</v>
      </c>
      <c r="F42" s="82">
        <f t="shared" si="2"/>
        <v>3292.3545288753789</v>
      </c>
      <c r="G42" s="68">
        <f t="shared" si="2"/>
        <v>11166.916651214537</v>
      </c>
      <c r="H42" s="68">
        <f t="shared" si="2"/>
        <v>8381.1551422434186</v>
      </c>
      <c r="I42" s="68">
        <f t="shared" si="2"/>
        <v>6552.350714522192</v>
      </c>
      <c r="J42" s="68">
        <f t="shared" si="2"/>
        <v>6272.2728877638137</v>
      </c>
      <c r="K42" s="68">
        <f t="shared" si="2"/>
        <v>6089.9102135488765</v>
      </c>
      <c r="L42" s="68">
        <f t="shared" si="2"/>
        <v>5952.3262287987118</v>
      </c>
    </row>
    <row r="43" spans="1:13" x14ac:dyDescent="0.25">
      <c r="A43" s="13" t="s">
        <v>28</v>
      </c>
      <c r="M43" s="65">
        <f>L42*(1+M4)/(B40-M4)</f>
        <v>59393.93967520701</v>
      </c>
    </row>
    <row r="44" spans="1:13" x14ac:dyDescent="0.25">
      <c r="A44" s="13" t="s">
        <v>29</v>
      </c>
      <c r="H44" s="73">
        <f>H42/(1+$B$40)^H41</f>
        <v>7927.2826589808701</v>
      </c>
      <c r="I44" s="73">
        <f>I42/(1+$B$40)^I41</f>
        <v>5861.8953780877664</v>
      </c>
      <c r="J44" s="73">
        <f>J42/(1+$B$40)^J41</f>
        <v>5307.4551991137951</v>
      </c>
      <c r="K44" s="73">
        <f>K42/(1+$B$40)^K41</f>
        <v>4874.081038250687</v>
      </c>
      <c r="L44" s="73">
        <f>L42/(1+$B$40)^L41</f>
        <v>4505.9777771646004</v>
      </c>
      <c r="M44" s="73">
        <f>M43/(1+$B$40)^L41</f>
        <v>44961.87910197083</v>
      </c>
    </row>
    <row r="45" spans="1:13" x14ac:dyDescent="0.25">
      <c r="A45" s="13" t="s">
        <v>30</v>
      </c>
      <c r="B45" s="17">
        <f>SUM(H44:M44)</f>
        <v>73438.57115356854</v>
      </c>
    </row>
    <row r="46" spans="1:13" x14ac:dyDescent="0.25">
      <c r="A46" s="13" t="s">
        <v>23</v>
      </c>
      <c r="B46" s="17">
        <f>B31</f>
        <v>7947</v>
      </c>
    </row>
    <row r="47" spans="1:13" x14ac:dyDescent="0.25">
      <c r="A47" s="13" t="s">
        <v>13</v>
      </c>
      <c r="B47" s="17">
        <f>B45+B46</f>
        <v>81385.57115356854</v>
      </c>
    </row>
    <row r="48" spans="1:13" x14ac:dyDescent="0.25">
      <c r="A48" s="13" t="s">
        <v>14</v>
      </c>
      <c r="B48" s="17">
        <f>'Costs of Capital'!$B$12/1000000</f>
        <v>4316</v>
      </c>
      <c r="C48" s="69"/>
      <c r="D48" s="69"/>
      <c r="E48" s="69"/>
      <c r="G48" s="69"/>
    </row>
    <row r="49" spans="1:13" x14ac:dyDescent="0.25">
      <c r="A49" s="13" t="s">
        <v>15</v>
      </c>
      <c r="B49" s="18">
        <f>B47/B48</f>
        <v>18.856712500826816</v>
      </c>
    </row>
    <row r="50" spans="1:13" x14ac:dyDescent="0.25">
      <c r="A50" s="13"/>
    </row>
    <row r="51" spans="1:13" x14ac:dyDescent="0.25">
      <c r="A51" s="13"/>
    </row>
    <row r="52" spans="1:13" ht="30" x14ac:dyDescent="0.25">
      <c r="A52" s="66" t="s">
        <v>31</v>
      </c>
    </row>
    <row r="53" spans="1:13" x14ac:dyDescent="0.25">
      <c r="A53" s="15"/>
    </row>
    <row r="54" spans="1:13" x14ac:dyDescent="0.25">
      <c r="A54" s="13" t="s">
        <v>32</v>
      </c>
      <c r="B54" s="10">
        <f>'Costs of Capital'!A26</f>
        <v>5.2814124148606541E-2</v>
      </c>
      <c r="D54" s="16"/>
    </row>
    <row r="55" spans="1:13" x14ac:dyDescent="0.25">
      <c r="A55" s="14"/>
      <c r="H55" s="2">
        <v>1</v>
      </c>
      <c r="I55" s="2">
        <v>2</v>
      </c>
      <c r="J55" s="2">
        <v>3</v>
      </c>
      <c r="K55" s="2">
        <v>4</v>
      </c>
      <c r="L55" s="2">
        <v>5</v>
      </c>
    </row>
    <row r="56" spans="1:13" x14ac:dyDescent="0.25">
      <c r="A56" s="13" t="s">
        <v>33</v>
      </c>
      <c r="C56" s="68">
        <f t="shared" ref="C56:L56" si="3">C101</f>
        <v>10218.435502342531</v>
      </c>
      <c r="D56" s="68">
        <f t="shared" si="3"/>
        <v>9293.4813176007865</v>
      </c>
      <c r="E56" s="68">
        <f t="shared" si="3"/>
        <v>3824.0732946298981</v>
      </c>
      <c r="F56" s="68">
        <f>F101</f>
        <v>6102.8786626139809</v>
      </c>
      <c r="G56" s="68">
        <f t="shared" si="3"/>
        <v>8519.8829964769138</v>
      </c>
      <c r="H56" s="68">
        <f t="shared" si="3"/>
        <v>9909.545483562546</v>
      </c>
      <c r="I56" s="68">
        <f t="shared" si="3"/>
        <v>9485.6247264803915</v>
      </c>
      <c r="J56" s="68">
        <f t="shared" si="3"/>
        <v>9092.0813162190407</v>
      </c>
      <c r="K56" s="68">
        <f t="shared" si="3"/>
        <v>8800.7229135038433</v>
      </c>
      <c r="L56" s="68">
        <f t="shared" si="3"/>
        <v>8558.4385084348633</v>
      </c>
    </row>
    <row r="57" spans="1:13" x14ac:dyDescent="0.25">
      <c r="A57" s="13" t="s">
        <v>28</v>
      </c>
      <c r="M57" s="65">
        <f>L56*(1+M4)/(B54-M4)</f>
        <v>89526.28535303392</v>
      </c>
    </row>
    <row r="58" spans="1:13" x14ac:dyDescent="0.25">
      <c r="A58" s="13" t="s">
        <v>29</v>
      </c>
      <c r="H58" s="73">
        <f>H56/(1+$B$54)^H55</f>
        <v>9412.4359241250022</v>
      </c>
      <c r="I58" s="73">
        <f>I56/(1+$B$54)^I55</f>
        <v>8557.8079034277125</v>
      </c>
      <c r="J58" s="73">
        <f>J56/(1+$B$54)^J55</f>
        <v>7791.2690779859104</v>
      </c>
      <c r="K58" s="73">
        <f>K56/(1+$B$54)^K55</f>
        <v>7163.2735642428943</v>
      </c>
      <c r="L58" s="73">
        <f>L56/(1+$B$54)^L55</f>
        <v>6616.6173815613047</v>
      </c>
      <c r="M58" s="74">
        <f>M57/(1+B54)^L55</f>
        <v>69213.697707787869</v>
      </c>
    </row>
    <row r="59" spans="1:13" x14ac:dyDescent="0.25">
      <c r="A59" s="13" t="s">
        <v>34</v>
      </c>
      <c r="B59" s="17">
        <f>SUM(H58:M58)</f>
        <v>108755.10155913071</v>
      </c>
    </row>
    <row r="60" spans="1:13" x14ac:dyDescent="0.25">
      <c r="A60" s="13" t="s">
        <v>24</v>
      </c>
      <c r="B60" s="17">
        <f>B32</f>
        <v>33277.950834091178</v>
      </c>
    </row>
    <row r="61" spans="1:13" x14ac:dyDescent="0.25">
      <c r="A61" s="13" t="s">
        <v>23</v>
      </c>
      <c r="B61" s="17">
        <f>B46</f>
        <v>7947</v>
      </c>
    </row>
    <row r="62" spans="1:13" x14ac:dyDescent="0.25">
      <c r="A62" s="13" t="s">
        <v>13</v>
      </c>
      <c r="B62" s="17">
        <f>B59-B60+B61</f>
        <v>83424.150725039537</v>
      </c>
    </row>
    <row r="63" spans="1:13" x14ac:dyDescent="0.25">
      <c r="A63" s="13" t="s">
        <v>14</v>
      </c>
      <c r="B63" s="17">
        <f>'Costs of Capital'!$B$12/1000000</f>
        <v>4316</v>
      </c>
      <c r="C63" s="69"/>
      <c r="D63" s="69"/>
      <c r="E63" s="69"/>
      <c r="G63" s="69"/>
    </row>
    <row r="64" spans="1:13" x14ac:dyDescent="0.25">
      <c r="A64" s="13" t="s">
        <v>15</v>
      </c>
      <c r="B64" s="18">
        <f>B62/B63</f>
        <v>19.329043263447531</v>
      </c>
    </row>
    <row r="65" spans="1:13" x14ac:dyDescent="0.25">
      <c r="A65" s="13"/>
    </row>
    <row r="66" spans="1:13" x14ac:dyDescent="0.25">
      <c r="A66" s="13"/>
    </row>
    <row r="67" spans="1:13" ht="45" x14ac:dyDescent="0.25">
      <c r="A67" s="66" t="s">
        <v>35</v>
      </c>
    </row>
    <row r="68" spans="1:13" x14ac:dyDescent="0.25">
      <c r="A68" s="15"/>
    </row>
    <row r="69" spans="1:13" x14ac:dyDescent="0.25">
      <c r="A69" s="13" t="s">
        <v>36</v>
      </c>
      <c r="B69" s="10">
        <f>'Costs of Capital'!A16</f>
        <v>5.1872031890609224E-2</v>
      </c>
    </row>
    <row r="70" spans="1:13" x14ac:dyDescent="0.25">
      <c r="A70" s="14"/>
      <c r="H70" s="2">
        <v>1</v>
      </c>
      <c r="I70" s="2">
        <v>2</v>
      </c>
      <c r="J70" s="2">
        <v>3</v>
      </c>
      <c r="K70" s="2">
        <v>4</v>
      </c>
      <c r="L70" s="2">
        <v>5</v>
      </c>
    </row>
    <row r="71" spans="1:13" x14ac:dyDescent="0.25">
      <c r="A71" s="13" t="s">
        <v>37</v>
      </c>
      <c r="C71" s="68">
        <f t="shared" ref="C71:L71" si="4">C101</f>
        <v>10218.435502342531</v>
      </c>
      <c r="D71" s="68">
        <f t="shared" si="4"/>
        <v>9293.4813176007865</v>
      </c>
      <c r="E71" s="68">
        <f t="shared" si="4"/>
        <v>3824.0732946298981</v>
      </c>
      <c r="F71" s="93">
        <f t="shared" si="4"/>
        <v>6102.8786626139809</v>
      </c>
      <c r="G71" s="68">
        <f t="shared" si="4"/>
        <v>8519.8829964769138</v>
      </c>
      <c r="H71" s="68">
        <f t="shared" si="4"/>
        <v>9909.545483562546</v>
      </c>
      <c r="I71" s="68">
        <f t="shared" si="4"/>
        <v>9485.6247264803915</v>
      </c>
      <c r="J71" s="68">
        <f t="shared" si="4"/>
        <v>9092.0813162190407</v>
      </c>
      <c r="K71" s="68">
        <f t="shared" si="4"/>
        <v>8800.7229135038433</v>
      </c>
      <c r="L71" s="68">
        <f t="shared" si="4"/>
        <v>8558.4385084348633</v>
      </c>
    </row>
    <row r="72" spans="1:13" x14ac:dyDescent="0.25">
      <c r="A72" s="13" t="s">
        <v>28</v>
      </c>
      <c r="M72" s="68">
        <f>L71*(1+M4)/(B69-M4)</f>
        <v>90453.91784801225</v>
      </c>
    </row>
    <row r="73" spans="1:13" x14ac:dyDescent="0.25">
      <c r="A73" s="13" t="s">
        <v>29</v>
      </c>
      <c r="H73" s="73">
        <f>H71/(1+$B$69)^H70</f>
        <v>9420.8660208897945</v>
      </c>
      <c r="I73" s="73">
        <f>I71/(1+$B$69)^I70</f>
        <v>8573.1440940222183</v>
      </c>
      <c r="J73" s="73">
        <f>J71/(1+$B$69)^J70</f>
        <v>7812.2222074224937</v>
      </c>
      <c r="K73" s="73">
        <f>K71/(1+$B$69)^K70</f>
        <v>7188.9707441545597</v>
      </c>
      <c r="L73" s="73">
        <f>L71/(1+$B$69)^L70</f>
        <v>6646.3008393792779</v>
      </c>
      <c r="M73" s="74">
        <f>M72/(1+B69)^L70</f>
        <v>70244.583696650341</v>
      </c>
    </row>
    <row r="74" spans="1:13" x14ac:dyDescent="0.25">
      <c r="A74" s="13" t="s">
        <v>38</v>
      </c>
      <c r="B74" s="17">
        <f>SUM(H73:M73)</f>
        <v>109886.08760251869</v>
      </c>
    </row>
    <row r="75" spans="1:13" x14ac:dyDescent="0.25">
      <c r="A75" s="13"/>
      <c r="B75" s="17"/>
      <c r="H75" s="2">
        <v>1</v>
      </c>
      <c r="I75" s="2">
        <v>2</v>
      </c>
      <c r="J75" s="2">
        <v>3</v>
      </c>
      <c r="K75" s="2">
        <v>4</v>
      </c>
      <c r="L75" s="2">
        <v>5</v>
      </c>
    </row>
    <row r="76" spans="1:13" x14ac:dyDescent="0.25">
      <c r="A76" s="13" t="s">
        <v>39</v>
      </c>
      <c r="B76" s="17"/>
      <c r="C76" s="68"/>
      <c r="D76" s="68"/>
      <c r="E76" s="68"/>
      <c r="G76" s="68"/>
      <c r="H76" s="68">
        <f>H112</f>
        <v>57.491310849018085</v>
      </c>
      <c r="I76" s="68">
        <f>I112</f>
        <v>348.60341421007411</v>
      </c>
      <c r="J76" s="68">
        <f>J112</f>
        <v>334.99053016856226</v>
      </c>
      <c r="K76" s="68">
        <f>K112</f>
        <v>321.90922615287309</v>
      </c>
      <c r="L76" s="68">
        <f>L112</f>
        <v>309.33874408389607</v>
      </c>
    </row>
    <row r="77" spans="1:13" x14ac:dyDescent="0.25">
      <c r="A77" s="13" t="s">
        <v>28</v>
      </c>
      <c r="B77" s="17"/>
      <c r="M77" s="65">
        <f>L76*(1+M4)/(B69-M4)</f>
        <v>3269.3932797431598</v>
      </c>
    </row>
    <row r="78" spans="1:13" x14ac:dyDescent="0.25">
      <c r="A78" s="13" t="s">
        <v>29</v>
      </c>
      <c r="B78" s="17"/>
      <c r="H78" s="65">
        <f>H76/(1+$B$69)^H75</f>
        <v>54.656183552750804</v>
      </c>
      <c r="I78" s="65">
        <f>I76/(1+$B$69)^I75</f>
        <v>315.06910592276802</v>
      </c>
      <c r="J78" s="65">
        <f>J76/(1+$B$69)^J75</f>
        <v>287.83513565707636</v>
      </c>
      <c r="K78" s="65">
        <f>K76/(1+$B$69)^K75</f>
        <v>262.95521763735258</v>
      </c>
      <c r="L78" s="65">
        <f>L76/(1+$B$69)^L75</f>
        <v>240.22587209466514</v>
      </c>
      <c r="M78" s="74">
        <f>M77/(1+B69)^L75</f>
        <v>2538.9411021651104</v>
      </c>
    </row>
    <row r="79" spans="1:13" x14ac:dyDescent="0.25">
      <c r="A79" s="13" t="s">
        <v>40</v>
      </c>
      <c r="B79" s="17">
        <f>SUM(H78:M78)</f>
        <v>3699.6826170297231</v>
      </c>
    </row>
    <row r="80" spans="1:13" x14ac:dyDescent="0.25">
      <c r="A80" s="14"/>
      <c r="B80" s="17"/>
    </row>
    <row r="81" spans="1:13" x14ac:dyDescent="0.25">
      <c r="A81" s="13" t="s">
        <v>24</v>
      </c>
      <c r="B81" s="17">
        <f>Debt!A14</f>
        <v>33277.950834091178</v>
      </c>
    </row>
    <row r="82" spans="1:13" x14ac:dyDescent="0.25">
      <c r="A82" s="13" t="s">
        <v>23</v>
      </c>
      <c r="B82" s="17">
        <f>B31</f>
        <v>7947</v>
      </c>
    </row>
    <row r="83" spans="1:13" x14ac:dyDescent="0.25">
      <c r="A83" s="13" t="s">
        <v>13</v>
      </c>
      <c r="B83" s="17">
        <f>SUM(B74,B79,B82)-B81</f>
        <v>88254.819385457231</v>
      </c>
    </row>
    <row r="84" spans="1:13" x14ac:dyDescent="0.25">
      <c r="A84" s="13" t="s">
        <v>14</v>
      </c>
      <c r="B84" s="17">
        <f>'Costs of Capital'!$B$12/1000000</f>
        <v>4316</v>
      </c>
      <c r="C84" s="69"/>
      <c r="D84" s="69"/>
      <c r="E84" s="69"/>
      <c r="G84" s="69"/>
    </row>
    <row r="85" spans="1:13" x14ac:dyDescent="0.25">
      <c r="A85" s="13" t="s">
        <v>15</v>
      </c>
      <c r="B85" s="18">
        <f>B83/B84</f>
        <v>20.448289941023454</v>
      </c>
    </row>
    <row r="89" spans="1:13" x14ac:dyDescent="0.25">
      <c r="A89" s="12" t="s">
        <v>41</v>
      </c>
    </row>
    <row r="90" spans="1:13" s="20" customFormat="1" x14ac:dyDescent="0.25">
      <c r="A90" s="15"/>
      <c r="F90" s="84"/>
    </row>
    <row r="91" spans="1:13" x14ac:dyDescent="0.25">
      <c r="A91" s="1" t="s">
        <v>42</v>
      </c>
      <c r="C91" s="82" t="s">
        <v>213</v>
      </c>
      <c r="D91" s="82" t="s">
        <v>1</v>
      </c>
      <c r="E91" s="8" t="s">
        <v>251</v>
      </c>
      <c r="F91" s="8" t="s">
        <v>252</v>
      </c>
      <c r="G91" s="8" t="s">
        <v>253</v>
      </c>
      <c r="H91" s="8">
        <v>2020</v>
      </c>
      <c r="I91" s="8">
        <v>2021</v>
      </c>
      <c r="J91" s="8">
        <v>2022</v>
      </c>
      <c r="K91" s="8">
        <v>2023</v>
      </c>
      <c r="L91" s="8">
        <v>2024</v>
      </c>
    </row>
    <row r="92" spans="1:13" x14ac:dyDescent="0.25">
      <c r="A92" s="8" t="s">
        <v>43</v>
      </c>
      <c r="C92" s="69">
        <f>4405000000</f>
        <v>4405000000</v>
      </c>
      <c r="D92" s="69">
        <v>4367000000</v>
      </c>
      <c r="E92" s="69">
        <v>4324000000</v>
      </c>
      <c r="F92" s="82">
        <f>4299000000</f>
        <v>4299000000</v>
      </c>
      <c r="G92" s="69">
        <v>4314000000</v>
      </c>
      <c r="H92" s="69">
        <v>4314000000</v>
      </c>
      <c r="I92" s="69">
        <v>4314000000</v>
      </c>
      <c r="J92" s="69">
        <v>4314000000</v>
      </c>
      <c r="K92" s="69">
        <v>4314000000</v>
      </c>
      <c r="L92" s="69">
        <v>4314000000</v>
      </c>
    </row>
    <row r="93" spans="1:13" x14ac:dyDescent="0.25">
      <c r="A93" s="1" t="s">
        <v>44</v>
      </c>
      <c r="B93" s="1"/>
      <c r="C93" s="1" t="s">
        <v>45</v>
      </c>
      <c r="D93" s="1" t="s">
        <v>45</v>
      </c>
      <c r="E93" s="1" t="s">
        <v>45</v>
      </c>
      <c r="F93" s="85" t="s">
        <v>45</v>
      </c>
      <c r="G93" s="1" t="s">
        <v>45</v>
      </c>
    </row>
    <row r="94" spans="1:13" x14ac:dyDescent="0.25">
      <c r="A94" s="8" t="s">
        <v>46</v>
      </c>
      <c r="C94" s="21">
        <f>C127</f>
        <v>8728</v>
      </c>
      <c r="D94" s="21">
        <f t="shared" ref="D94:L94" si="5">D127</f>
        <v>8626</v>
      </c>
      <c r="E94" s="21">
        <f t="shared" si="5"/>
        <v>7755</v>
      </c>
      <c r="F94" s="21">
        <f t="shared" si="5"/>
        <v>9152</v>
      </c>
      <c r="G94" s="21">
        <f t="shared" si="5"/>
        <v>10086</v>
      </c>
      <c r="H94" s="21">
        <f t="shared" si="5"/>
        <v>9692.1439938739368</v>
      </c>
      <c r="I94" s="21">
        <f t="shared" si="5"/>
        <v>9313.6679752118416</v>
      </c>
      <c r="J94" s="21">
        <f t="shared" si="5"/>
        <v>8949.9713590011379</v>
      </c>
      <c r="K94" s="21">
        <f t="shared" si="5"/>
        <v>8600.4770129374028</v>
      </c>
      <c r="L94" s="21">
        <f t="shared" si="5"/>
        <v>8264.630341601438</v>
      </c>
      <c r="M94" s="9"/>
    </row>
    <row r="95" spans="1:13" x14ac:dyDescent="0.25">
      <c r="A95" s="8" t="s">
        <v>47</v>
      </c>
      <c r="C95" s="4">
        <f>(C132-C134)/C132</f>
        <v>0.23310775637688705</v>
      </c>
      <c r="D95" s="4">
        <f t="shared" ref="D95:L95" si="6">(D132-D134)/D132</f>
        <v>0.19493608652900687</v>
      </c>
      <c r="E95" s="4">
        <f t="shared" si="6"/>
        <v>0.81378809869375912</v>
      </c>
      <c r="F95" s="4">
        <f t="shared" si="6"/>
        <v>0.21264437689969604</v>
      </c>
      <c r="G95" s="4">
        <f t="shared" si="6"/>
        <v>0.16697570925273503</v>
      </c>
      <c r="H95" s="4">
        <f t="shared" si="6"/>
        <v>0.16697570925273503</v>
      </c>
      <c r="I95" s="4">
        <f t="shared" si="6"/>
        <v>0.16697570925273506</v>
      </c>
      <c r="J95" s="4">
        <f t="shared" si="6"/>
        <v>0.16697570925273511</v>
      </c>
      <c r="K95" s="4">
        <f t="shared" si="6"/>
        <v>0.16697570925273517</v>
      </c>
      <c r="L95" s="4">
        <f t="shared" si="6"/>
        <v>0.16697570925273517</v>
      </c>
    </row>
    <row r="96" spans="1:13" x14ac:dyDescent="0.25">
      <c r="A96" s="8" t="s">
        <v>48</v>
      </c>
      <c r="C96" s="21">
        <f>C94*(1-C95)</f>
        <v>6693.4355023425296</v>
      </c>
      <c r="D96" s="21">
        <f t="shared" ref="D96:L96" si="7">D94*(1-D95)</f>
        <v>6944.4813176007865</v>
      </c>
      <c r="E96" s="21">
        <f t="shared" si="7"/>
        <v>1444.0732946298981</v>
      </c>
      <c r="F96" s="21">
        <f t="shared" si="7"/>
        <v>7205.8786626139818</v>
      </c>
      <c r="G96" s="21">
        <f t="shared" si="7"/>
        <v>8401.8829964769138</v>
      </c>
      <c r="H96" s="21">
        <f t="shared" si="7"/>
        <v>8073.7913763172</v>
      </c>
      <c r="I96" s="21">
        <f t="shared" si="7"/>
        <v>7758.5116593063594</v>
      </c>
      <c r="J96" s="21">
        <f t="shared" si="7"/>
        <v>7455.5435435402578</v>
      </c>
      <c r="K96" s="21">
        <f t="shared" si="7"/>
        <v>7164.4062637903344</v>
      </c>
      <c r="L96" s="21">
        <f t="shared" si="7"/>
        <v>6884.637828600863</v>
      </c>
      <c r="M96" s="9"/>
    </row>
    <row r="97" spans="1:13" x14ac:dyDescent="0.25">
      <c r="A97" s="8" t="s">
        <v>49</v>
      </c>
      <c r="C97" s="21">
        <f>C191</f>
        <v>1970</v>
      </c>
      <c r="D97" s="21">
        <f t="shared" ref="D97:L97" si="8">D191</f>
        <v>1787</v>
      </c>
      <c r="E97" s="21">
        <f t="shared" si="8"/>
        <v>1260</v>
      </c>
      <c r="F97" s="21">
        <f t="shared" si="8"/>
        <v>1086</v>
      </c>
      <c r="G97" s="21">
        <f t="shared" si="8"/>
        <v>1365</v>
      </c>
      <c r="H97" s="21">
        <f t="shared" si="8"/>
        <v>1493.6</v>
      </c>
      <c r="I97" s="21">
        <f t="shared" si="8"/>
        <v>1398.3200000000002</v>
      </c>
      <c r="J97" s="21">
        <f t="shared" si="8"/>
        <v>1320.5840000000001</v>
      </c>
      <c r="K97" s="21">
        <f t="shared" si="8"/>
        <v>1332.7008000000001</v>
      </c>
      <c r="L97" s="21">
        <f t="shared" si="8"/>
        <v>1382.0409599999998</v>
      </c>
      <c r="M97" s="9"/>
    </row>
    <row r="98" spans="1:13" x14ac:dyDescent="0.25">
      <c r="A98" s="8" t="s">
        <v>50</v>
      </c>
      <c r="C98" s="21">
        <f>C96+C97</f>
        <v>8663.4355023425305</v>
      </c>
      <c r="D98" s="21">
        <f t="shared" ref="D98:L98" si="9">D96+D97</f>
        <v>8731.4813176007865</v>
      </c>
      <c r="E98" s="21">
        <f t="shared" si="9"/>
        <v>2704.0732946298981</v>
      </c>
      <c r="F98" s="21">
        <f t="shared" si="9"/>
        <v>8291.8786626139809</v>
      </c>
      <c r="G98" s="21">
        <f t="shared" si="9"/>
        <v>9766.8829964769138</v>
      </c>
      <c r="H98" s="21">
        <f t="shared" si="9"/>
        <v>9567.3913763172004</v>
      </c>
      <c r="I98" s="21">
        <f t="shared" si="9"/>
        <v>9156.8316593063591</v>
      </c>
      <c r="J98" s="21">
        <f t="shared" si="9"/>
        <v>8776.1275435402586</v>
      </c>
      <c r="K98" s="21">
        <f t="shared" si="9"/>
        <v>8497.107063790334</v>
      </c>
      <c r="L98" s="21">
        <f t="shared" si="9"/>
        <v>8266.6787886008624</v>
      </c>
      <c r="M98" s="9"/>
    </row>
    <row r="99" spans="1:13" x14ac:dyDescent="0.25">
      <c r="A99" s="8" t="s">
        <v>51</v>
      </c>
      <c r="C99" s="21">
        <f>(C152+C153+C154-C167)-(B152+B153+B154-B167)</f>
        <v>-1463</v>
      </c>
      <c r="D99" s="21">
        <f t="shared" ref="D99:L99" si="10">(D152+D153+D154-D167)-(C152+C153+C154-C167)</f>
        <v>-413</v>
      </c>
      <c r="E99" s="21">
        <f t="shared" si="10"/>
        <v>52</v>
      </c>
      <c r="F99" s="21">
        <f t="shared" si="10"/>
        <v>-292</v>
      </c>
      <c r="G99" s="21">
        <f t="shared" si="10"/>
        <v>-1358</v>
      </c>
      <c r="H99" s="21">
        <f t="shared" si="10"/>
        <v>81.06732785224267</v>
      </c>
      <c r="I99" s="21">
        <f t="shared" si="10"/>
        <v>77.901667136873584</v>
      </c>
      <c r="J99" s="21">
        <f t="shared" si="10"/>
        <v>74.859624752469244</v>
      </c>
      <c r="K99" s="21">
        <f t="shared" si="10"/>
        <v>71.936373431322863</v>
      </c>
      <c r="L99" s="21">
        <f t="shared" si="10"/>
        <v>69.12727440942399</v>
      </c>
      <c r="M99" s="9"/>
    </row>
    <row r="100" spans="1:13" x14ac:dyDescent="0.25">
      <c r="A100" s="8" t="s">
        <v>52</v>
      </c>
      <c r="C100" s="21">
        <f>(C160-B160)+C244</f>
        <v>-92</v>
      </c>
      <c r="D100" s="21">
        <f t="shared" ref="D100:L100" si="11">(D160-C160)+D244</f>
        <v>-149</v>
      </c>
      <c r="E100" s="21">
        <f t="shared" si="11"/>
        <v>-1172</v>
      </c>
      <c r="F100" s="21">
        <f t="shared" si="11"/>
        <v>2481</v>
      </c>
      <c r="G100" s="21">
        <f t="shared" si="11"/>
        <v>2605</v>
      </c>
      <c r="H100" s="21">
        <f t="shared" si="11"/>
        <v>-423.22143509758826</v>
      </c>
      <c r="I100" s="21">
        <f t="shared" si="11"/>
        <v>-406.69473431090591</v>
      </c>
      <c r="J100" s="21">
        <f t="shared" si="11"/>
        <v>-390.81339743125136</v>
      </c>
      <c r="K100" s="21">
        <f t="shared" si="11"/>
        <v>-375.55222314483217</v>
      </c>
      <c r="L100" s="21">
        <f t="shared" si="11"/>
        <v>-360.88699424342485</v>
      </c>
      <c r="M100" s="9"/>
    </row>
    <row r="101" spans="1:13" s="2" customFormat="1" x14ac:dyDescent="0.25">
      <c r="A101" s="2" t="s">
        <v>53</v>
      </c>
      <c r="C101" s="23">
        <f>C98-C99-C100</f>
        <v>10218.435502342531</v>
      </c>
      <c r="D101" s="23">
        <f t="shared" ref="D101:L101" si="12">D98-D99-D100</f>
        <v>9293.4813176007865</v>
      </c>
      <c r="E101" s="23">
        <f t="shared" si="12"/>
        <v>3824.0732946298981</v>
      </c>
      <c r="F101" s="23">
        <f t="shared" si="12"/>
        <v>6102.8786626139809</v>
      </c>
      <c r="G101" s="23">
        <f t="shared" si="12"/>
        <v>8519.8829964769138</v>
      </c>
      <c r="H101" s="23">
        <f t="shared" si="12"/>
        <v>9909.545483562546</v>
      </c>
      <c r="I101" s="23">
        <f t="shared" si="12"/>
        <v>9485.6247264803915</v>
      </c>
      <c r="J101" s="23">
        <f t="shared" si="12"/>
        <v>9092.0813162190407</v>
      </c>
      <c r="K101" s="23">
        <f t="shared" si="12"/>
        <v>8800.7229135038433</v>
      </c>
      <c r="L101" s="23">
        <f t="shared" si="12"/>
        <v>8558.4385084348633</v>
      </c>
      <c r="M101" s="24"/>
    </row>
    <row r="102" spans="1:13" x14ac:dyDescent="0.25">
      <c r="C102" s="21"/>
      <c r="D102" s="21"/>
      <c r="E102" s="21"/>
      <c r="F102" s="83"/>
      <c r="G102" s="21"/>
      <c r="H102" s="21"/>
      <c r="I102" s="21"/>
      <c r="J102" s="21"/>
      <c r="K102" s="21"/>
      <c r="L102" s="21"/>
    </row>
    <row r="103" spans="1:13" x14ac:dyDescent="0.25">
      <c r="A103" s="8" t="s">
        <v>54</v>
      </c>
      <c r="C103" s="21">
        <f>-(C129+C128)</f>
        <v>-1469</v>
      </c>
      <c r="D103" s="21">
        <f t="shared" ref="D103:L103" si="13">-(D129+D128)</f>
        <v>-1375</v>
      </c>
      <c r="E103" s="21">
        <f t="shared" si="13"/>
        <v>-1532</v>
      </c>
      <c r="F103" s="21">
        <f t="shared" si="13"/>
        <v>-1639</v>
      </c>
      <c r="G103" s="21">
        <f t="shared" si="13"/>
        <v>-1509</v>
      </c>
      <c r="H103" s="21">
        <f t="shared" si="13"/>
        <v>344.30942743892786</v>
      </c>
      <c r="I103" s="21">
        <f t="shared" si="13"/>
        <v>2087.7492646695496</v>
      </c>
      <c r="J103" s="21">
        <f t="shared" si="13"/>
        <v>2006.2231307041147</v>
      </c>
      <c r="K103" s="21">
        <f t="shared" si="13"/>
        <v>1927.880573728421</v>
      </c>
      <c r="L103" s="21">
        <f t="shared" si="13"/>
        <v>1852.5972757850641</v>
      </c>
      <c r="M103" s="9"/>
    </row>
    <row r="104" spans="1:13" x14ac:dyDescent="0.25">
      <c r="C104" s="21"/>
      <c r="D104" s="21"/>
      <c r="E104" s="21"/>
      <c r="F104" s="83"/>
      <c r="G104" s="21"/>
      <c r="H104" s="21"/>
      <c r="I104" s="21"/>
      <c r="J104" s="21"/>
      <c r="K104" s="21"/>
      <c r="L104" s="21"/>
    </row>
    <row r="105" spans="1:13" x14ac:dyDescent="0.25">
      <c r="A105" s="8" t="s">
        <v>37</v>
      </c>
      <c r="C105" s="21">
        <f>C101</f>
        <v>10218.435502342531</v>
      </c>
      <c r="D105" s="21">
        <f t="shared" ref="D105:L105" si="14">D101</f>
        <v>9293.4813176007865</v>
      </c>
      <c r="E105" s="21">
        <f t="shared" si="14"/>
        <v>3824.0732946298981</v>
      </c>
      <c r="F105" s="21">
        <f t="shared" si="14"/>
        <v>6102.8786626139809</v>
      </c>
      <c r="G105" s="21">
        <f t="shared" si="14"/>
        <v>8519.8829964769138</v>
      </c>
      <c r="H105" s="21">
        <f t="shared" si="14"/>
        <v>9909.545483562546</v>
      </c>
      <c r="I105" s="21">
        <f t="shared" si="14"/>
        <v>9485.6247264803915</v>
      </c>
      <c r="J105" s="21">
        <f t="shared" si="14"/>
        <v>9092.0813162190407</v>
      </c>
      <c r="K105" s="21">
        <f t="shared" si="14"/>
        <v>8800.7229135038433</v>
      </c>
      <c r="L105" s="21">
        <f t="shared" si="14"/>
        <v>8558.4385084348633</v>
      </c>
      <c r="M105" s="9"/>
    </row>
    <row r="106" spans="1:13" x14ac:dyDescent="0.25">
      <c r="A106" s="8" t="s">
        <v>55</v>
      </c>
      <c r="C106" s="21">
        <f>(C169+C173)-(B169+B173)</f>
        <v>8372</v>
      </c>
      <c r="D106" s="21">
        <f t="shared" ref="D106:L106" si="15">(D169+D173)-(C169+C173)</f>
        <v>2224</v>
      </c>
      <c r="E106" s="21">
        <f t="shared" si="15"/>
        <v>1269</v>
      </c>
      <c r="F106" s="21">
        <f t="shared" si="15"/>
        <v>-4101</v>
      </c>
      <c r="G106" s="21">
        <f t="shared" si="15"/>
        <v>1390</v>
      </c>
      <c r="H106" s="21">
        <f t="shared" si="15"/>
        <v>-1240.5722247292179</v>
      </c>
      <c r="I106" s="21">
        <f t="shared" si="15"/>
        <v>-1192.1281614987238</v>
      </c>
      <c r="J106" s="21">
        <f t="shared" si="15"/>
        <v>-1145.5758279196743</v>
      </c>
      <c r="K106" s="21">
        <f t="shared" si="15"/>
        <v>-1100.8413523794188</v>
      </c>
      <c r="L106" s="21">
        <f t="shared" si="15"/>
        <v>-1057.8537479349834</v>
      </c>
      <c r="M106" s="9"/>
    </row>
    <row r="107" spans="1:13" x14ac:dyDescent="0.25">
      <c r="A107" s="8" t="s">
        <v>56</v>
      </c>
      <c r="C107" s="21">
        <f>C103*(1-C95)</f>
        <v>-1126.5647058823529</v>
      </c>
      <c r="D107" s="21">
        <f t="shared" ref="D107:L107" si="16">D103*(1-D95)</f>
        <v>-1106.9628810226156</v>
      </c>
      <c r="E107" s="21">
        <f t="shared" si="16"/>
        <v>-285.27663280116104</v>
      </c>
      <c r="F107" s="21">
        <f t="shared" si="16"/>
        <v>-1290.4758662613981</v>
      </c>
      <c r="G107" s="21">
        <f t="shared" si="16"/>
        <v>-1257.0336547376228</v>
      </c>
      <c r="H107" s="21">
        <f t="shared" si="16"/>
        <v>286.81811658990978</v>
      </c>
      <c r="I107" s="21">
        <f t="shared" si="16"/>
        <v>1739.1458504594755</v>
      </c>
      <c r="J107" s="21">
        <f t="shared" si="16"/>
        <v>1671.2326005355526</v>
      </c>
      <c r="K107" s="21">
        <f t="shared" si="16"/>
        <v>1605.971347575548</v>
      </c>
      <c r="L107" s="21">
        <f t="shared" si="16"/>
        <v>1543.2585317011678</v>
      </c>
      <c r="M107" s="9"/>
    </row>
    <row r="108" spans="1:13" x14ac:dyDescent="0.25">
      <c r="A108" s="8" t="s">
        <v>57</v>
      </c>
      <c r="C108" s="21">
        <v>0</v>
      </c>
      <c r="D108" s="21">
        <v>0</v>
      </c>
      <c r="E108" s="21">
        <v>0</v>
      </c>
      <c r="F108" s="83">
        <v>0</v>
      </c>
      <c r="G108" s="21">
        <v>0</v>
      </c>
      <c r="H108" s="21">
        <v>1</v>
      </c>
      <c r="I108" s="21">
        <v>2</v>
      </c>
      <c r="J108" s="21">
        <v>3</v>
      </c>
      <c r="K108" s="21">
        <v>4</v>
      </c>
      <c r="L108" s="21">
        <v>5</v>
      </c>
      <c r="M108" s="9"/>
    </row>
    <row r="109" spans="1:13" s="2" customFormat="1" x14ac:dyDescent="0.25">
      <c r="A109" s="2" t="s">
        <v>58</v>
      </c>
      <c r="C109" s="23">
        <f>C105+C106-C107-C108</f>
        <v>19717.000208224883</v>
      </c>
      <c r="D109" s="23">
        <f t="shared" ref="D109:G109" si="17">D105+D106-D107-D108</f>
        <v>12624.444198623401</v>
      </c>
      <c r="E109" s="23">
        <f t="shared" si="17"/>
        <v>5378.3499274310589</v>
      </c>
      <c r="F109" s="87">
        <f t="shared" si="17"/>
        <v>3292.3545288753789</v>
      </c>
      <c r="G109" s="23">
        <f t="shared" si="17"/>
        <v>11166.916651214537</v>
      </c>
      <c r="H109" s="23">
        <f t="shared" ref="H109:L109" si="18">H105+H106-H107-H108</f>
        <v>8381.1551422434186</v>
      </c>
      <c r="I109" s="23">
        <f t="shared" si="18"/>
        <v>6552.350714522192</v>
      </c>
      <c r="J109" s="23">
        <f t="shared" si="18"/>
        <v>6272.2728877638137</v>
      </c>
      <c r="K109" s="23">
        <f t="shared" si="18"/>
        <v>6089.9102135488765</v>
      </c>
      <c r="L109" s="23">
        <f t="shared" si="18"/>
        <v>5952.3262287987118</v>
      </c>
      <c r="M109" s="24"/>
    </row>
    <row r="110" spans="1:13" x14ac:dyDescent="0.25">
      <c r="C110" s="21"/>
      <c r="D110" s="21"/>
      <c r="E110" s="21"/>
      <c r="F110" s="83"/>
      <c r="G110" s="21"/>
      <c r="H110" s="21"/>
      <c r="I110" s="21"/>
      <c r="J110" s="21"/>
      <c r="K110" s="21"/>
      <c r="L110" s="21"/>
    </row>
    <row r="111" spans="1:13" x14ac:dyDescent="0.25">
      <c r="A111" s="8" t="s">
        <v>37</v>
      </c>
      <c r="C111" s="21">
        <f>C101</f>
        <v>10218.435502342531</v>
      </c>
      <c r="D111" s="21">
        <f t="shared" ref="D111:G111" si="19">D101</f>
        <v>9293.4813176007865</v>
      </c>
      <c r="E111" s="21">
        <f t="shared" si="19"/>
        <v>3824.0732946298981</v>
      </c>
      <c r="F111" s="83">
        <f t="shared" si="19"/>
        <v>6102.8786626139809</v>
      </c>
      <c r="G111" s="21">
        <f t="shared" si="19"/>
        <v>8519.8829964769138</v>
      </c>
      <c r="H111" s="21">
        <f t="shared" ref="H111:L111" si="20">H101</f>
        <v>9909.545483562546</v>
      </c>
      <c r="I111" s="21">
        <f t="shared" si="20"/>
        <v>9485.6247264803915</v>
      </c>
      <c r="J111" s="21">
        <f t="shared" si="20"/>
        <v>9092.0813162190407</v>
      </c>
      <c r="K111" s="21">
        <f t="shared" si="20"/>
        <v>8800.7229135038433</v>
      </c>
      <c r="L111" s="21">
        <f t="shared" si="20"/>
        <v>8558.4385084348633</v>
      </c>
      <c r="M111" s="9"/>
    </row>
    <row r="112" spans="1:13" x14ac:dyDescent="0.25">
      <c r="A112" s="8" t="s">
        <v>59</v>
      </c>
      <c r="C112" s="21">
        <f>C103*C95</f>
        <v>-342.43529411764706</v>
      </c>
      <c r="D112" s="21">
        <f t="shared" ref="D112:G112" si="21">D103*D95</f>
        <v>-268.03711897738447</v>
      </c>
      <c r="E112" s="21">
        <f t="shared" si="21"/>
        <v>-1246.723367198839</v>
      </c>
      <c r="F112" s="83">
        <f>F103*F95</f>
        <v>-348.52413373860179</v>
      </c>
      <c r="G112" s="21">
        <f t="shared" si="21"/>
        <v>-251.96634526237716</v>
      </c>
      <c r="H112" s="21">
        <f t="shared" ref="H112:L112" si="22">H103*H95</f>
        <v>57.491310849018085</v>
      </c>
      <c r="I112" s="21">
        <f t="shared" si="22"/>
        <v>348.60341421007411</v>
      </c>
      <c r="J112" s="21">
        <f t="shared" si="22"/>
        <v>334.99053016856226</v>
      </c>
      <c r="K112" s="21">
        <f t="shared" si="22"/>
        <v>321.90922615287309</v>
      </c>
      <c r="L112" s="21">
        <f t="shared" si="22"/>
        <v>309.33874408389607</v>
      </c>
      <c r="M112" s="9"/>
    </row>
    <row r="113" spans="1:13" s="2" customFormat="1" x14ac:dyDescent="0.25">
      <c r="A113" s="2" t="s">
        <v>60</v>
      </c>
      <c r="C113" s="23">
        <f>SUM(C111:C112)</f>
        <v>9876.000208224883</v>
      </c>
      <c r="D113" s="23">
        <f t="shared" ref="D113:G113" si="23">SUM(D111:D112)</f>
        <v>9025.4441986234015</v>
      </c>
      <c r="E113" s="23">
        <f t="shared" si="23"/>
        <v>2577.3499274310589</v>
      </c>
      <c r="F113" s="87">
        <f t="shared" si="23"/>
        <v>5754.3545288753794</v>
      </c>
      <c r="G113" s="23">
        <f t="shared" si="23"/>
        <v>8267.9166512145366</v>
      </c>
      <c r="H113" s="23">
        <f t="shared" ref="H113:L113" si="24">SUM(H111:H112)</f>
        <v>9967.0367944115642</v>
      </c>
      <c r="I113" s="23">
        <f t="shared" si="24"/>
        <v>9834.2281406904658</v>
      </c>
      <c r="J113" s="23">
        <f t="shared" si="24"/>
        <v>9427.0718463876037</v>
      </c>
      <c r="K113" s="23">
        <f t="shared" si="24"/>
        <v>9122.6321396567164</v>
      </c>
      <c r="L113" s="23">
        <f t="shared" si="24"/>
        <v>8867.7772525187593</v>
      </c>
      <c r="M113" s="24"/>
    </row>
    <row r="117" spans="1:13" x14ac:dyDescent="0.25">
      <c r="A117" s="12" t="s">
        <v>61</v>
      </c>
    </row>
    <row r="119" spans="1:13" x14ac:dyDescent="0.25">
      <c r="A119" s="8" t="s">
        <v>62</v>
      </c>
    </row>
    <row r="120" spans="1:13" x14ac:dyDescent="0.25">
      <c r="B120" s="8" t="s">
        <v>158</v>
      </c>
      <c r="C120" s="82" t="s">
        <v>213</v>
      </c>
      <c r="D120" s="82" t="s">
        <v>1</v>
      </c>
      <c r="E120" s="8" t="s">
        <v>251</v>
      </c>
      <c r="F120" s="8" t="s">
        <v>252</v>
      </c>
      <c r="G120" s="8" t="s">
        <v>253</v>
      </c>
      <c r="H120" s="8" t="s">
        <v>266</v>
      </c>
      <c r="I120" s="8" t="s">
        <v>267</v>
      </c>
      <c r="J120" s="8" t="s">
        <v>268</v>
      </c>
      <c r="K120" s="8" t="s">
        <v>269</v>
      </c>
      <c r="L120" s="8" t="s">
        <v>270</v>
      </c>
    </row>
    <row r="122" spans="1:13" x14ac:dyDescent="0.25">
      <c r="A122" s="8" t="s">
        <v>159</v>
      </c>
      <c r="B122" s="8">
        <v>45998</v>
      </c>
      <c r="C122" s="8">
        <v>44294</v>
      </c>
      <c r="D122" s="8">
        <v>41863</v>
      </c>
      <c r="E122" s="81">
        <v>36212</v>
      </c>
      <c r="F122" s="81">
        <v>34300</v>
      </c>
      <c r="G122" s="8">
        <v>37266</v>
      </c>
      <c r="H122" s="72">
        <f>G122*(1+H$3)</f>
        <v>35810.771175461647</v>
      </c>
      <c r="I122" s="72">
        <f t="shared" ref="I122:L122" si="25">H122*(1+I$3)</f>
        <v>34412.368705556662</v>
      </c>
      <c r="J122" s="72">
        <f t="shared" si="25"/>
        <v>33068.573534060721</v>
      </c>
      <c r="K122" s="72">
        <f t="shared" si="25"/>
        <v>31777.253258390367</v>
      </c>
      <c r="L122" s="72">
        <f t="shared" si="25"/>
        <v>30536.358745798054</v>
      </c>
    </row>
    <row r="123" spans="1:13" x14ac:dyDescent="0.25">
      <c r="A123" s="8" t="s">
        <v>160</v>
      </c>
      <c r="B123" s="8">
        <v>17889</v>
      </c>
      <c r="C123" s="8">
        <v>17482</v>
      </c>
      <c r="D123" s="8">
        <v>16465</v>
      </c>
      <c r="E123" s="81">
        <v>13721</v>
      </c>
      <c r="F123" s="81">
        <v>13067</v>
      </c>
      <c r="G123" s="8">
        <v>14619</v>
      </c>
      <c r="H123" s="72">
        <f t="shared" ref="H123:L123" si="26">G123*(1+H$3)</f>
        <v>14048.131374820849</v>
      </c>
      <c r="I123" s="72">
        <f t="shared" si="26"/>
        <v>13499.555039621446</v>
      </c>
      <c r="J123" s="72">
        <f t="shared" si="26"/>
        <v>12972.400485548051</v>
      </c>
      <c r="K123" s="72">
        <f t="shared" si="26"/>
        <v>12465.831196919678</v>
      </c>
      <c r="L123" s="72">
        <f t="shared" si="26"/>
        <v>11979.04332380244</v>
      </c>
    </row>
    <row r="124" spans="1:13" x14ac:dyDescent="0.25">
      <c r="A124" s="8" t="s">
        <v>161</v>
      </c>
      <c r="B124" s="8">
        <v>28109</v>
      </c>
      <c r="C124" s="8">
        <v>26812</v>
      </c>
      <c r="D124" s="8">
        <v>25398</v>
      </c>
      <c r="E124" s="81">
        <v>22491</v>
      </c>
      <c r="F124" s="81">
        <v>21233</v>
      </c>
      <c r="G124" s="8">
        <v>22647</v>
      </c>
      <c r="H124" s="72">
        <f>G124*(1+H$3)</f>
        <v>21762.639800640794</v>
      </c>
      <c r="I124" s="72">
        <f t="shared" ref="H124:L124" si="27">H124*(1+I$3)</f>
        <v>20912.813665935213</v>
      </c>
      <c r="J124" s="72">
        <f t="shared" si="27"/>
        <v>20096.173048512668</v>
      </c>
      <c r="K124" s="72">
        <f t="shared" si="27"/>
        <v>19311.422061470686</v>
      </c>
      <c r="L124" s="72">
        <f t="shared" si="27"/>
        <v>18557.315421995612</v>
      </c>
    </row>
    <row r="125" spans="1:13" x14ac:dyDescent="0.25">
      <c r="A125" s="8" t="s">
        <v>64</v>
      </c>
      <c r="B125" s="8">
        <v>17218</v>
      </c>
      <c r="C125" s="8">
        <v>16427</v>
      </c>
      <c r="D125" s="8">
        <v>15262</v>
      </c>
      <c r="E125" s="81">
        <v>12834</v>
      </c>
      <c r="F125" s="81">
        <v>11002</v>
      </c>
      <c r="G125" s="8">
        <v>12103</v>
      </c>
      <c r="H125" s="72">
        <f t="shared" ref="H125:L125" si="28">G125*(1+H$3)</f>
        <v>11630.380602603238</v>
      </c>
      <c r="I125" s="72">
        <f t="shared" si="28"/>
        <v>11176.21688518629</v>
      </c>
      <c r="J125" s="72">
        <f t="shared" si="28"/>
        <v>10739.788157643345</v>
      </c>
      <c r="K125" s="72">
        <f t="shared" si="28"/>
        <v>10320.40187265332</v>
      </c>
      <c r="L125" s="72">
        <f t="shared" si="28"/>
        <v>9917.3925267105096</v>
      </c>
    </row>
    <row r="126" spans="1:13" x14ac:dyDescent="0.25">
      <c r="A126" s="8" t="s">
        <v>162</v>
      </c>
      <c r="B126" s="8">
        <v>1183</v>
      </c>
      <c r="C126" s="8">
        <v>1657</v>
      </c>
      <c r="D126" s="8">
        <v>1510</v>
      </c>
      <c r="E126" s="81">
        <v>1902</v>
      </c>
      <c r="F126" s="81">
        <v>1079</v>
      </c>
      <c r="G126" s="8">
        <v>458</v>
      </c>
      <c r="H126" s="72">
        <f t="shared" ref="H126:L126" si="29">G126*(1+H$3)</f>
        <v>440.11520416361918</v>
      </c>
      <c r="I126" s="72">
        <f t="shared" si="29"/>
        <v>422.92880553708341</v>
      </c>
      <c r="J126" s="72">
        <f t="shared" si="29"/>
        <v>406.41353186818571</v>
      </c>
      <c r="K126" s="72">
        <f t="shared" si="29"/>
        <v>390.5431758799653</v>
      </c>
      <c r="L126" s="72">
        <f t="shared" si="29"/>
        <v>375.29255368366631</v>
      </c>
    </row>
    <row r="127" spans="1:13" x14ac:dyDescent="0.25">
      <c r="A127" s="8" t="s">
        <v>163</v>
      </c>
      <c r="B127" s="8">
        <v>9708</v>
      </c>
      <c r="C127" s="8">
        <v>8728</v>
      </c>
      <c r="D127" s="8">
        <v>8626</v>
      </c>
      <c r="E127" s="81">
        <v>7755</v>
      </c>
      <c r="F127" s="81">
        <v>9152</v>
      </c>
      <c r="G127" s="8">
        <v>10086</v>
      </c>
      <c r="H127" s="72">
        <f t="shared" ref="H127:L127" si="30">G127*(1+H$3)</f>
        <v>9692.1439938739368</v>
      </c>
      <c r="I127" s="72">
        <f t="shared" si="30"/>
        <v>9313.6679752118416</v>
      </c>
      <c r="J127" s="72">
        <f t="shared" si="30"/>
        <v>8949.9713590011379</v>
      </c>
      <c r="K127" s="72">
        <f t="shared" si="30"/>
        <v>8600.4770129374028</v>
      </c>
      <c r="L127" s="72">
        <f t="shared" si="30"/>
        <v>8264.630341601438</v>
      </c>
    </row>
    <row r="128" spans="1:13" ht="18.75" customHeight="1" x14ac:dyDescent="0.25">
      <c r="A128" s="8" t="s">
        <v>164</v>
      </c>
      <c r="B128" s="8">
        <v>594</v>
      </c>
      <c r="C128" s="8">
        <v>613</v>
      </c>
      <c r="D128" s="8">
        <v>642</v>
      </c>
      <c r="E128" s="81">
        <v>679</v>
      </c>
      <c r="F128" s="81">
        <v>689</v>
      </c>
      <c r="G128" s="8">
        <v>563</v>
      </c>
      <c r="H128" s="72">
        <f t="shared" ref="H128:L128" si="31">G128*(1+H$3)</f>
        <v>541.01497804392488</v>
      </c>
      <c r="I128" s="72">
        <f t="shared" si="31"/>
        <v>519.88846619514834</v>
      </c>
      <c r="J128" s="72">
        <f t="shared" si="31"/>
        <v>499.58693982923262</v>
      </c>
      <c r="K128" s="72">
        <f t="shared" si="31"/>
        <v>480.07818345069967</v>
      </c>
      <c r="L128" s="72">
        <f t="shared" si="31"/>
        <v>461.33123957184301</v>
      </c>
    </row>
    <row r="129" spans="1:12" x14ac:dyDescent="0.25">
      <c r="A129" s="8" t="s">
        <v>74</v>
      </c>
      <c r="B129" s="8">
        <v>483</v>
      </c>
      <c r="C129" s="8">
        <v>856</v>
      </c>
      <c r="D129" s="8">
        <v>733</v>
      </c>
      <c r="E129" s="81">
        <v>853</v>
      </c>
      <c r="F129" s="81">
        <v>950</v>
      </c>
      <c r="G129" s="8">
        <v>946</v>
      </c>
      <c r="H129" s="72">
        <f>-(H169+H173)*H5</f>
        <v>-885.32440548285274</v>
      </c>
      <c r="I129" s="72">
        <f t="shared" ref="I129:L129" si="32">-(I165+I168)*I5</f>
        <v>-2607.6377308646979</v>
      </c>
      <c r="J129" s="72">
        <f t="shared" si="32"/>
        <v>-2505.8100705333472</v>
      </c>
      <c r="K129" s="72">
        <f t="shared" si="32"/>
        <v>-2407.9587571791208</v>
      </c>
      <c r="L129" s="72">
        <f t="shared" si="32"/>
        <v>-2313.9285153569072</v>
      </c>
    </row>
    <row r="130" spans="1:12" x14ac:dyDescent="0.25">
      <c r="A130" s="8" t="s">
        <v>165</v>
      </c>
      <c r="B130" s="8">
        <v>769</v>
      </c>
      <c r="C130" s="8">
        <v>489</v>
      </c>
      <c r="D130" s="8">
        <v>835</v>
      </c>
      <c r="E130" s="81">
        <v>1072</v>
      </c>
      <c r="F130" s="81">
        <v>1008</v>
      </c>
      <c r="G130" s="8">
        <v>1049</v>
      </c>
      <c r="H130" s="72">
        <f t="shared" ref="H130:L130" si="33">G130*(1+H$3)</f>
        <v>1008.0367885756256</v>
      </c>
      <c r="I130" s="72">
        <f t="shared" ref="I130" si="34">H130*(1+I$3)</f>
        <v>968.67318124104906</v>
      </c>
      <c r="J130" s="72">
        <f t="shared" ref="J130" si="35">I130*(1+J$3)</f>
        <v>930.84671382036424</v>
      </c>
      <c r="K130" s="72">
        <f t="shared" ref="K130" si="36">J130*(1+K$3)</f>
        <v>894.49736134952752</v>
      </c>
      <c r="L130" s="72">
        <f t="shared" ref="L130" si="37">K130*(1+L$3)</f>
        <v>859.56744282568991</v>
      </c>
    </row>
    <row r="131" spans="1:12" x14ac:dyDescent="0.25">
      <c r="A131" s="8" t="s">
        <v>166</v>
      </c>
      <c r="B131" s="8">
        <v>-1263</v>
      </c>
      <c r="C131" s="8">
        <v>631</v>
      </c>
      <c r="D131" s="8">
        <v>-1234</v>
      </c>
      <c r="E131" s="81">
        <v>-1763</v>
      </c>
      <c r="F131" s="81">
        <v>-1674</v>
      </c>
      <c r="G131" s="8">
        <v>34</v>
      </c>
      <c r="H131" s="72">
        <f t="shared" ref="H131:L131" si="38">G131*(1+H$3)</f>
        <v>32.672307732670419</v>
      </c>
      <c r="I131" s="72">
        <f t="shared" si="38"/>
        <v>31.396461546421037</v>
      </c>
      <c r="J131" s="72">
        <f t="shared" si="38"/>
        <v>30.170436863577105</v>
      </c>
      <c r="K131" s="72">
        <f t="shared" si="38"/>
        <v>28.992288165761618</v>
      </c>
      <c r="L131" s="72">
        <f t="shared" si="38"/>
        <v>27.86014590664772</v>
      </c>
    </row>
    <row r="132" spans="1:12" x14ac:dyDescent="0.25">
      <c r="A132" s="8" t="s">
        <v>167</v>
      </c>
      <c r="B132" s="8">
        <v>9325</v>
      </c>
      <c r="C132" s="8">
        <v>9605</v>
      </c>
      <c r="D132" s="8">
        <v>8136</v>
      </c>
      <c r="E132" s="81">
        <v>6890</v>
      </c>
      <c r="F132" s="81">
        <v>8225</v>
      </c>
      <c r="G132" s="8">
        <v>10786</v>
      </c>
      <c r="H132" s="72">
        <f t="shared" ref="H132:L132" si="39">G132*(1+H$3)</f>
        <v>10364.809153075976</v>
      </c>
      <c r="I132" s="72">
        <f t="shared" si="39"/>
        <v>9960.0657129322753</v>
      </c>
      <c r="J132" s="72">
        <f t="shared" si="39"/>
        <v>9571.1274120747858</v>
      </c>
      <c r="K132" s="72">
        <f t="shared" si="39"/>
        <v>9197.3770634089669</v>
      </c>
      <c r="L132" s="72">
        <f t="shared" si="39"/>
        <v>8838.2215808559522</v>
      </c>
    </row>
    <row r="133" spans="1:12" x14ac:dyDescent="0.25">
      <c r="A133" s="8" t="s">
        <v>168</v>
      </c>
      <c r="B133" s="8">
        <v>2201</v>
      </c>
      <c r="C133" s="8">
        <v>2239</v>
      </c>
      <c r="D133" s="8">
        <v>1586</v>
      </c>
      <c r="E133" s="81">
        <v>5607</v>
      </c>
      <c r="F133" s="81">
        <v>1749</v>
      </c>
      <c r="G133" s="8">
        <v>1801</v>
      </c>
      <c r="H133" s="72">
        <f t="shared" ref="H133:L133" si="40">G133*(1+H$3)</f>
        <v>1730.6713596041009</v>
      </c>
      <c r="I133" s="72">
        <f t="shared" si="40"/>
        <v>1663.0890366207145</v>
      </c>
      <c r="J133" s="72">
        <f t="shared" si="40"/>
        <v>1598.1457879794816</v>
      </c>
      <c r="K133" s="72">
        <f t="shared" si="40"/>
        <v>1535.7385584275494</v>
      </c>
      <c r="L133" s="72">
        <f t="shared" si="40"/>
        <v>1475.7683169962513</v>
      </c>
    </row>
    <row r="134" spans="1:12" x14ac:dyDescent="0.25">
      <c r="A134" s="8" t="s">
        <v>169</v>
      </c>
      <c r="B134" s="8">
        <v>7124</v>
      </c>
      <c r="C134" s="8">
        <v>7366</v>
      </c>
      <c r="D134" s="8">
        <v>6550</v>
      </c>
      <c r="E134" s="81">
        <v>1283</v>
      </c>
      <c r="F134" s="81">
        <v>6476</v>
      </c>
      <c r="G134" s="8">
        <v>8985</v>
      </c>
      <c r="H134" s="72">
        <f t="shared" ref="H134:L134" si="41">G134*(1+H$3)</f>
        <v>8634.1377934718748</v>
      </c>
      <c r="I134" s="72">
        <f t="shared" si="41"/>
        <v>8296.9766763115604</v>
      </c>
      <c r="J134" s="72">
        <f t="shared" si="41"/>
        <v>7972.9816240953032</v>
      </c>
      <c r="K134" s="72">
        <f t="shared" si="41"/>
        <v>7661.6385049814162</v>
      </c>
      <c r="L134" s="72">
        <f t="shared" si="41"/>
        <v>7362.4532638596993</v>
      </c>
    </row>
    <row r="135" spans="1:12" x14ac:dyDescent="0.25">
      <c r="A135" s="8" t="s">
        <v>65</v>
      </c>
      <c r="B135" s="8">
        <v>26</v>
      </c>
      <c r="C135" s="8">
        <v>15</v>
      </c>
      <c r="D135" s="8">
        <v>23</v>
      </c>
      <c r="E135" s="81">
        <v>35</v>
      </c>
      <c r="F135" s="81">
        <v>42</v>
      </c>
      <c r="G135" s="8">
        <v>65</v>
      </c>
      <c r="H135" s="72">
        <f t="shared" ref="H135:L141" si="42">G135*(1+H$3)</f>
        <v>62.461764783046391</v>
      </c>
      <c r="I135" s="72">
        <f t="shared" si="42"/>
        <v>60.022647074040222</v>
      </c>
      <c r="J135" s="72">
        <f t="shared" si="42"/>
        <v>57.678776356838583</v>
      </c>
      <c r="K135" s="72">
        <f t="shared" si="42"/>
        <v>55.426433258073679</v>
      </c>
      <c r="L135" s="72">
        <f t="shared" si="42"/>
        <v>53.262043645061816</v>
      </c>
    </row>
    <row r="136" spans="1:12" ht="14.25" customHeight="1" x14ac:dyDescent="0.25">
      <c r="A136" s="8" t="s">
        <v>170</v>
      </c>
      <c r="B136" s="8">
        <v>7098</v>
      </c>
      <c r="C136" s="8">
        <v>7351</v>
      </c>
      <c r="D136" s="8">
        <v>6527</v>
      </c>
      <c r="E136" s="81">
        <v>1248</v>
      </c>
      <c r="F136" s="81">
        <v>6434</v>
      </c>
      <c r="G136" s="8">
        <v>8920</v>
      </c>
      <c r="H136" s="72">
        <f t="shared" si="42"/>
        <v>8571.6760286888275</v>
      </c>
      <c r="I136" s="72">
        <f t="shared" ref="I136:I141" si="43">H136*(1+I$3)</f>
        <v>8236.9540292375186</v>
      </c>
      <c r="J136" s="72">
        <f t="shared" ref="J136:J141" si="44">I136*(1+J$3)</f>
        <v>7915.3028477384632</v>
      </c>
      <c r="K136" s="72">
        <f t="shared" ref="K136:K141" si="45">J136*(1+K$3)</f>
        <v>7606.2120717233411</v>
      </c>
      <c r="L136" s="72">
        <f t="shared" ref="L136:L141" si="46">K136*(1+L$3)</f>
        <v>7309.1912202146359</v>
      </c>
    </row>
    <row r="137" spans="1:12" x14ac:dyDescent="0.25">
      <c r="A137" s="8" t="s">
        <v>171</v>
      </c>
      <c r="B137" s="8">
        <v>1.62</v>
      </c>
      <c r="C137" s="8">
        <v>1.69</v>
      </c>
      <c r="D137" s="8">
        <v>1.51</v>
      </c>
      <c r="E137" s="81">
        <v>0.28999999999999998</v>
      </c>
      <c r="F137" s="81">
        <v>1.51</v>
      </c>
      <c r="G137" s="8">
        <v>2.09</v>
      </c>
      <c r="H137" s="67">
        <f t="shared" si="42"/>
        <v>2.0083859753317994</v>
      </c>
      <c r="I137" s="67">
        <f t="shared" si="43"/>
        <v>1.9299589597652933</v>
      </c>
      <c r="J137" s="67">
        <f t="shared" si="44"/>
        <v>1.8545945013198868</v>
      </c>
      <c r="K137" s="67">
        <f t="shared" si="45"/>
        <v>1.782173007836523</v>
      </c>
      <c r="L137" s="67">
        <f t="shared" si="46"/>
        <v>1.7125795572027569</v>
      </c>
    </row>
    <row r="138" spans="1:12" x14ac:dyDescent="0.25">
      <c r="A138" s="8" t="s">
        <v>172</v>
      </c>
      <c r="B138" s="8">
        <v>1.6</v>
      </c>
      <c r="C138" s="8">
        <v>1.67</v>
      </c>
      <c r="D138" s="8">
        <v>1.49</v>
      </c>
      <c r="E138" s="81">
        <v>0.28999999999999998</v>
      </c>
      <c r="F138" s="81">
        <v>1.5</v>
      </c>
      <c r="G138" s="8">
        <v>2.0699999999999998</v>
      </c>
      <c r="H138" s="67">
        <f t="shared" si="42"/>
        <v>1.9891669707831696</v>
      </c>
      <c r="I138" s="67">
        <f t="shared" si="43"/>
        <v>1.9114904529732808</v>
      </c>
      <c r="J138" s="67">
        <f t="shared" si="44"/>
        <v>1.8368471855177826</v>
      </c>
      <c r="K138" s="67">
        <f t="shared" si="45"/>
        <v>1.7651187206801926</v>
      </c>
      <c r="L138" s="67">
        <f t="shared" si="46"/>
        <v>1.6961912360811993</v>
      </c>
    </row>
    <row r="139" spans="1:12" x14ac:dyDescent="0.25">
      <c r="A139" s="8" t="s">
        <v>173</v>
      </c>
      <c r="B139" s="8">
        <v>4387</v>
      </c>
      <c r="C139" s="8">
        <v>4352</v>
      </c>
      <c r="D139" s="8">
        <v>4317</v>
      </c>
      <c r="E139" s="81">
        <v>4272</v>
      </c>
      <c r="F139" s="81">
        <v>4259</v>
      </c>
      <c r="G139" s="8">
        <v>4276</v>
      </c>
      <c r="H139" s="72">
        <f t="shared" si="42"/>
        <v>4109.0231724970208</v>
      </c>
      <c r="I139" s="72">
        <f t="shared" si="43"/>
        <v>3948.5667521322457</v>
      </c>
      <c r="J139" s="72">
        <f t="shared" si="44"/>
        <v>3794.3761184898735</v>
      </c>
      <c r="K139" s="72">
        <f t="shared" si="45"/>
        <v>3646.2065940234315</v>
      </c>
      <c r="L139" s="72">
        <f t="shared" si="46"/>
        <v>3503.8230557889892</v>
      </c>
    </row>
    <row r="140" spans="1:12" x14ac:dyDescent="0.25">
      <c r="A140" s="8" t="s">
        <v>174</v>
      </c>
      <c r="B140" s="8">
        <v>63</v>
      </c>
      <c r="C140" s="8">
        <v>53</v>
      </c>
      <c r="D140" s="8">
        <v>50</v>
      </c>
      <c r="E140" s="81">
        <v>52</v>
      </c>
      <c r="F140" s="81">
        <v>40</v>
      </c>
      <c r="G140" s="8">
        <v>38</v>
      </c>
      <c r="H140" s="72">
        <f t="shared" si="42"/>
        <v>36.516108642396354</v>
      </c>
      <c r="I140" s="72">
        <f t="shared" si="43"/>
        <v>35.090162904823515</v>
      </c>
      <c r="J140" s="72">
        <f t="shared" si="44"/>
        <v>33.719900023997944</v>
      </c>
      <c r="K140" s="72">
        <f t="shared" si="45"/>
        <v>32.403145597027695</v>
      </c>
      <c r="L140" s="72">
        <f t="shared" si="46"/>
        <v>31.13781013095922</v>
      </c>
    </row>
    <row r="141" spans="1:12" x14ac:dyDescent="0.25">
      <c r="A141" s="8" t="s">
        <v>175</v>
      </c>
      <c r="B141" s="8">
        <v>4450</v>
      </c>
      <c r="C141" s="8">
        <v>4405</v>
      </c>
      <c r="D141" s="8">
        <v>4367</v>
      </c>
      <c r="E141" s="81">
        <v>4324</v>
      </c>
      <c r="F141" s="81">
        <v>4299</v>
      </c>
      <c r="G141" s="8">
        <v>4314</v>
      </c>
      <c r="H141" s="72">
        <f t="shared" si="42"/>
        <v>4145.5392811394177</v>
      </c>
      <c r="I141" s="72">
        <f t="shared" si="43"/>
        <v>3983.6569150370697</v>
      </c>
      <c r="J141" s="72">
        <f t="shared" si="44"/>
        <v>3828.096018513872</v>
      </c>
      <c r="K141" s="72">
        <f t="shared" si="45"/>
        <v>3678.6097396204595</v>
      </c>
      <c r="L141" s="72">
        <f t="shared" si="46"/>
        <v>3534.9608659199489</v>
      </c>
    </row>
    <row r="146" spans="1:12" x14ac:dyDescent="0.25">
      <c r="A146" s="8" t="s">
        <v>66</v>
      </c>
      <c r="B146" s="8" t="s">
        <v>63</v>
      </c>
      <c r="C146" s="82" t="s">
        <v>213</v>
      </c>
      <c r="D146" s="82" t="s">
        <v>1</v>
      </c>
      <c r="E146" s="8" t="s">
        <v>251</v>
      </c>
      <c r="F146" s="8" t="s">
        <v>252</v>
      </c>
      <c r="G146" s="8" t="s">
        <v>253</v>
      </c>
      <c r="H146" s="8" t="s">
        <v>266</v>
      </c>
      <c r="I146" s="8" t="s">
        <v>267</v>
      </c>
      <c r="J146" s="8" t="s">
        <v>268</v>
      </c>
      <c r="K146" s="8" t="s">
        <v>269</v>
      </c>
      <c r="L146" s="8" t="s">
        <v>270</v>
      </c>
    </row>
    <row r="147" spans="1:12" x14ac:dyDescent="0.25">
      <c r="A147" s="8" t="s">
        <v>176</v>
      </c>
    </row>
    <row r="148" spans="1:12" x14ac:dyDescent="0.25">
      <c r="A148" s="8" t="s">
        <v>68</v>
      </c>
      <c r="B148" s="88">
        <v>8958</v>
      </c>
      <c r="C148" s="82">
        <v>7309</v>
      </c>
      <c r="D148" s="82">
        <v>8555</v>
      </c>
      <c r="E148" s="81">
        <v>6006</v>
      </c>
      <c r="F148" s="8">
        <v>9077</v>
      </c>
      <c r="G148" s="8">
        <v>6480</v>
      </c>
      <c r="H148" s="72">
        <f t="shared" ref="H148:L164" si="47">G148*(1+H$3)</f>
        <v>6226.9574737560097</v>
      </c>
      <c r="I148" s="72">
        <f t="shared" si="47"/>
        <v>5983.7962006120097</v>
      </c>
      <c r="J148" s="72">
        <f t="shared" si="47"/>
        <v>5750.1303198817541</v>
      </c>
      <c r="K148" s="72">
        <f t="shared" si="47"/>
        <v>5525.5890386510373</v>
      </c>
      <c r="L148" s="72">
        <f t="shared" si="47"/>
        <v>5309.8160433846233</v>
      </c>
    </row>
    <row r="149" spans="1:12" x14ac:dyDescent="0.25">
      <c r="A149" s="8" t="s">
        <v>177</v>
      </c>
      <c r="B149" s="88">
        <v>9052</v>
      </c>
      <c r="C149" s="82">
        <v>8322</v>
      </c>
      <c r="D149" s="82">
        <v>9595</v>
      </c>
      <c r="E149" s="81">
        <v>9352</v>
      </c>
      <c r="F149" s="8">
        <v>2025</v>
      </c>
      <c r="G149" s="8">
        <v>1467</v>
      </c>
      <c r="H149" s="72">
        <f t="shared" si="47"/>
        <v>1409.7139836419856</v>
      </c>
      <c r="I149" s="72">
        <f t="shared" si="47"/>
        <v>1354.6649731941079</v>
      </c>
      <c r="J149" s="72">
        <f t="shared" si="47"/>
        <v>1301.7656140843417</v>
      </c>
      <c r="K149" s="72">
        <f t="shared" si="47"/>
        <v>1250.9319629168322</v>
      </c>
      <c r="L149" s="72">
        <f t="shared" si="47"/>
        <v>1202.0833542662413</v>
      </c>
    </row>
    <row r="150" spans="1:12" x14ac:dyDescent="0.25">
      <c r="A150" s="8" t="s">
        <v>178</v>
      </c>
      <c r="B150" s="88">
        <v>18010</v>
      </c>
      <c r="C150" s="82">
        <v>15631</v>
      </c>
      <c r="D150" s="82">
        <v>18150</v>
      </c>
      <c r="E150" s="81">
        <v>15358</v>
      </c>
      <c r="F150" s="8">
        <v>11102</v>
      </c>
      <c r="G150" s="8">
        <v>7947</v>
      </c>
      <c r="H150" s="72">
        <f t="shared" si="47"/>
        <v>7636.6714573979953</v>
      </c>
      <c r="I150" s="72">
        <f t="shared" si="47"/>
        <v>7338.4611738061176</v>
      </c>
      <c r="J150" s="72">
        <f t="shared" si="47"/>
        <v>7051.895933966096</v>
      </c>
      <c r="K150" s="72">
        <f t="shared" si="47"/>
        <v>6776.5210015678695</v>
      </c>
      <c r="L150" s="72">
        <f t="shared" si="47"/>
        <v>6511.8993976508646</v>
      </c>
    </row>
    <row r="151" spans="1:12" x14ac:dyDescent="0.25">
      <c r="A151" s="8" t="s">
        <v>179</v>
      </c>
      <c r="B151" s="88">
        <v>3665</v>
      </c>
      <c r="C151" s="82">
        <v>4269</v>
      </c>
      <c r="D151" s="82">
        <v>4051</v>
      </c>
      <c r="E151" s="81">
        <v>5317</v>
      </c>
      <c r="F151" s="8">
        <v>5013</v>
      </c>
      <c r="G151" s="8">
        <v>3228</v>
      </c>
      <c r="H151" s="72">
        <f t="shared" si="47"/>
        <v>3101.9473341488269</v>
      </c>
      <c r="I151" s="72">
        <f t="shared" si="47"/>
        <v>2980.8169962307975</v>
      </c>
      <c r="J151" s="72">
        <f t="shared" si="47"/>
        <v>2864.4167704596148</v>
      </c>
      <c r="K151" s="72">
        <f t="shared" si="47"/>
        <v>2752.5619470317206</v>
      </c>
      <c r="L151" s="72">
        <f t="shared" si="47"/>
        <v>2645.0750290193773</v>
      </c>
    </row>
    <row r="152" spans="1:12" x14ac:dyDescent="0.25">
      <c r="A152" s="8" t="s">
        <v>216</v>
      </c>
      <c r="B152" s="88">
        <v>4466</v>
      </c>
      <c r="C152" s="82">
        <v>3941</v>
      </c>
      <c r="D152" s="82">
        <v>3856</v>
      </c>
      <c r="E152" s="81">
        <v>3667</v>
      </c>
      <c r="F152" s="8">
        <v>3685</v>
      </c>
      <c r="G152" s="8">
        <v>3971</v>
      </c>
      <c r="H152" s="72">
        <f t="shared" si="47"/>
        <v>3815.9333531304187</v>
      </c>
      <c r="I152" s="72">
        <f t="shared" si="47"/>
        <v>3666.922023554057</v>
      </c>
      <c r="J152" s="72">
        <f t="shared" si="47"/>
        <v>3523.7295525077848</v>
      </c>
      <c r="K152" s="72">
        <f t="shared" si="47"/>
        <v>3386.1287148893934</v>
      </c>
      <c r="L152" s="72">
        <f t="shared" si="47"/>
        <v>3253.9011586852375</v>
      </c>
    </row>
    <row r="153" spans="1:12" x14ac:dyDescent="0.25">
      <c r="A153" s="8" t="s">
        <v>69</v>
      </c>
      <c r="B153" s="88">
        <v>3100</v>
      </c>
      <c r="C153" s="82">
        <v>2902</v>
      </c>
      <c r="D153" s="82">
        <v>2675</v>
      </c>
      <c r="E153" s="81">
        <v>2655</v>
      </c>
      <c r="F153" s="8">
        <v>3071</v>
      </c>
      <c r="G153" s="8">
        <v>3379</v>
      </c>
      <c r="H153" s="72">
        <f t="shared" si="47"/>
        <v>3247.0508184909809</v>
      </c>
      <c r="I153" s="72">
        <f t="shared" si="47"/>
        <v>3120.2542225104908</v>
      </c>
      <c r="J153" s="72">
        <f t="shared" si="47"/>
        <v>2998.4090047655013</v>
      </c>
      <c r="K153" s="72">
        <f t="shared" si="47"/>
        <v>2881.321815062015</v>
      </c>
      <c r="L153" s="72">
        <f t="shared" si="47"/>
        <v>2768.8068534871368</v>
      </c>
    </row>
    <row r="154" spans="1:12" x14ac:dyDescent="0.25">
      <c r="A154" s="8" t="s">
        <v>180</v>
      </c>
      <c r="B154" s="88">
        <v>3066</v>
      </c>
      <c r="C154" s="82">
        <v>2752</v>
      </c>
      <c r="D154" s="82">
        <v>2481</v>
      </c>
      <c r="E154" s="81">
        <v>2000</v>
      </c>
      <c r="F154" s="8">
        <v>2059</v>
      </c>
      <c r="G154" s="8">
        <v>1886</v>
      </c>
      <c r="H154" s="72">
        <f t="shared" si="47"/>
        <v>1812.3521289357768</v>
      </c>
      <c r="I154" s="72">
        <f t="shared" si="47"/>
        <v>1741.5801904867672</v>
      </c>
      <c r="J154" s="72">
        <f t="shared" si="47"/>
        <v>1673.5718801384244</v>
      </c>
      <c r="K154" s="72">
        <f t="shared" si="47"/>
        <v>1608.2192788419534</v>
      </c>
      <c r="L154" s="72">
        <f t="shared" si="47"/>
        <v>1545.4186817628706</v>
      </c>
    </row>
    <row r="155" spans="1:12" x14ac:dyDescent="0.25">
      <c r="A155" s="8" t="s">
        <v>181</v>
      </c>
      <c r="B155" s="88">
        <v>679</v>
      </c>
      <c r="C155" s="82">
        <v>3900</v>
      </c>
      <c r="D155" s="82">
        <v>2797</v>
      </c>
      <c r="E155" s="81">
        <v>219</v>
      </c>
      <c r="F155" s="8">
        <v>24930</v>
      </c>
      <c r="G155" s="8">
        <v>20411</v>
      </c>
      <c r="H155" s="72">
        <f t="shared" si="47"/>
        <v>19613.955092103999</v>
      </c>
      <c r="I155" s="72">
        <f t="shared" si="47"/>
        <v>18848.03460658823</v>
      </c>
      <c r="J155" s="72">
        <f t="shared" si="47"/>
        <v>18112.023141837421</v>
      </c>
      <c r="K155" s="72">
        <f t="shared" si="47"/>
        <v>17404.752757392951</v>
      </c>
      <c r="L155" s="72">
        <f t="shared" si="47"/>
        <v>16725.101120605486</v>
      </c>
    </row>
    <row r="156" spans="1:12" x14ac:dyDescent="0.25">
      <c r="A156" s="8" t="s">
        <v>182</v>
      </c>
      <c r="B156" s="88">
        <v>32986</v>
      </c>
      <c r="C156" s="82">
        <v>33395</v>
      </c>
      <c r="D156" s="82">
        <v>34010</v>
      </c>
      <c r="E156" s="81">
        <v>36545</v>
      </c>
      <c r="F156" s="8">
        <v>19412</v>
      </c>
      <c r="G156" s="8">
        <v>19025</v>
      </c>
      <c r="H156" s="72">
        <f t="shared" si="47"/>
        <v>18282.078076883961</v>
      </c>
      <c r="I156" s="72">
        <f t="shared" si="47"/>
        <v>17568.167085901772</v>
      </c>
      <c r="J156" s="72">
        <f t="shared" si="47"/>
        <v>16882.134156751603</v>
      </c>
      <c r="K156" s="72">
        <f t="shared" si="47"/>
        <v>16222.89065745926</v>
      </c>
      <c r="L156" s="72">
        <f t="shared" si="47"/>
        <v>15589.390466881556</v>
      </c>
    </row>
    <row r="157" spans="1:12" x14ac:dyDescent="0.25">
      <c r="A157" s="8" t="s">
        <v>183</v>
      </c>
      <c r="B157" s="88">
        <v>9947</v>
      </c>
      <c r="C157" s="82">
        <v>12318</v>
      </c>
      <c r="D157" s="82">
        <v>16260</v>
      </c>
      <c r="E157" s="81">
        <v>20856</v>
      </c>
      <c r="F157" s="8">
        <v>867</v>
      </c>
      <c r="G157" s="8">
        <v>854</v>
      </c>
      <c r="H157" s="72">
        <f t="shared" si="47"/>
        <v>820.65149422648642</v>
      </c>
      <c r="I157" s="72">
        <f t="shared" si="47"/>
        <v>788.6052400189285</v>
      </c>
      <c r="J157" s="72">
        <f t="shared" si="47"/>
        <v>757.81038474984859</v>
      </c>
      <c r="K157" s="72">
        <f t="shared" si="47"/>
        <v>728.21806157530659</v>
      </c>
      <c r="L157" s="72">
        <f t="shared" si="47"/>
        <v>699.78131189050453</v>
      </c>
    </row>
    <row r="158" spans="1:12" x14ac:dyDescent="0.25">
      <c r="A158" s="8" t="s">
        <v>184</v>
      </c>
      <c r="B158" s="88">
        <v>3678</v>
      </c>
      <c r="C158" s="82">
        <v>3470</v>
      </c>
      <c r="D158" s="82">
        <v>989</v>
      </c>
      <c r="E158" s="81">
        <v>1096</v>
      </c>
      <c r="F158" s="8">
        <v>4148</v>
      </c>
      <c r="G158" s="8">
        <v>6075</v>
      </c>
      <c r="H158" s="72">
        <f t="shared" si="47"/>
        <v>5837.7726316462586</v>
      </c>
      <c r="I158" s="72">
        <f t="shared" si="47"/>
        <v>5609.8089380737592</v>
      </c>
      <c r="J158" s="72">
        <f t="shared" si="47"/>
        <v>5390.7471748891448</v>
      </c>
      <c r="K158" s="72">
        <f t="shared" si="47"/>
        <v>5180.239723735348</v>
      </c>
      <c r="L158" s="72">
        <f t="shared" si="47"/>
        <v>4977.9525406730854</v>
      </c>
    </row>
    <row r="159" spans="1:12" x14ac:dyDescent="0.25">
      <c r="A159" s="8" t="s">
        <v>185</v>
      </c>
      <c r="B159" s="88">
        <v>4407</v>
      </c>
      <c r="C159" s="82">
        <v>4110</v>
      </c>
      <c r="D159" s="82">
        <v>4248</v>
      </c>
      <c r="E159" s="81">
        <v>4560</v>
      </c>
      <c r="F159" s="8">
        <v>2674</v>
      </c>
      <c r="G159" s="8">
        <v>2412</v>
      </c>
      <c r="H159" s="72">
        <f t="shared" si="47"/>
        <v>2317.8119485647367</v>
      </c>
      <c r="I159" s="72">
        <f t="shared" si="47"/>
        <v>2227.3019191166923</v>
      </c>
      <c r="J159" s="72">
        <f t="shared" si="47"/>
        <v>2140.3262857337641</v>
      </c>
      <c r="K159" s="72">
        <f t="shared" si="47"/>
        <v>2056.7470310534418</v>
      </c>
      <c r="L159" s="72">
        <f t="shared" si="47"/>
        <v>1976.4315272598321</v>
      </c>
    </row>
    <row r="160" spans="1:12" x14ac:dyDescent="0.25">
      <c r="A160" s="8" t="s">
        <v>186</v>
      </c>
      <c r="B160" s="88">
        <v>14633</v>
      </c>
      <c r="C160" s="82">
        <v>12571</v>
      </c>
      <c r="D160" s="82">
        <v>10635</v>
      </c>
      <c r="E160" s="81">
        <v>8203</v>
      </c>
      <c r="F160" s="8">
        <v>9598</v>
      </c>
      <c r="G160" s="8">
        <v>10838</v>
      </c>
      <c r="H160" s="72">
        <f t="shared" si="47"/>
        <v>10414.778564902412</v>
      </c>
      <c r="I160" s="72">
        <f t="shared" si="47"/>
        <v>10008.083830591506</v>
      </c>
      <c r="J160" s="72">
        <f t="shared" si="47"/>
        <v>9617.2704331602545</v>
      </c>
      <c r="K160" s="72">
        <f t="shared" si="47"/>
        <v>9241.7182100154223</v>
      </c>
      <c r="L160" s="72">
        <f t="shared" si="47"/>
        <v>8880.8312157719974</v>
      </c>
    </row>
    <row r="161" spans="1:12" x14ac:dyDescent="0.25">
      <c r="A161" s="8" t="s">
        <v>187</v>
      </c>
      <c r="B161" s="88">
        <v>6533</v>
      </c>
      <c r="C161" s="82">
        <v>5989</v>
      </c>
      <c r="D161" s="82">
        <v>6097</v>
      </c>
      <c r="E161" s="81">
        <v>6729</v>
      </c>
      <c r="F161" s="8">
        <v>6682</v>
      </c>
      <c r="G161" s="8">
        <v>9266</v>
      </c>
      <c r="H161" s="72">
        <f t="shared" si="47"/>
        <v>8904.1648073801207</v>
      </c>
      <c r="I161" s="72">
        <f t="shared" si="47"/>
        <v>8556.4591967393335</v>
      </c>
      <c r="J161" s="72">
        <f t="shared" si="47"/>
        <v>8222.3314111148666</v>
      </c>
      <c r="K161" s="72">
        <f t="shared" si="47"/>
        <v>7901.2512395278573</v>
      </c>
      <c r="L161" s="72">
        <f t="shared" si="47"/>
        <v>7592.7091756175814</v>
      </c>
    </row>
    <row r="162" spans="1:12" x14ac:dyDescent="0.25">
      <c r="A162" s="8" t="s">
        <v>188</v>
      </c>
      <c r="B162" s="88">
        <v>6689</v>
      </c>
      <c r="C162" s="82">
        <v>6000</v>
      </c>
      <c r="D162" s="82">
        <v>3676</v>
      </c>
      <c r="E162" s="81">
        <v>138</v>
      </c>
      <c r="F162" s="8">
        <v>51</v>
      </c>
      <c r="G162" s="8">
        <v>109</v>
      </c>
      <c r="H162" s="72">
        <f t="shared" si="47"/>
        <v>104.74357479003164</v>
      </c>
      <c r="I162" s="72">
        <f t="shared" si="47"/>
        <v>100.65336201646745</v>
      </c>
      <c r="J162" s="72">
        <f t="shared" si="47"/>
        <v>96.72287112146779</v>
      </c>
      <c r="K162" s="72">
        <f t="shared" si="47"/>
        <v>92.945865002000488</v>
      </c>
      <c r="L162" s="72">
        <f t="shared" si="47"/>
        <v>89.31635011248828</v>
      </c>
    </row>
    <row r="163" spans="1:12" x14ac:dyDescent="0.25">
      <c r="A163" s="8" t="s">
        <v>189</v>
      </c>
      <c r="B163" s="88">
        <v>12100</v>
      </c>
      <c r="C163" s="82">
        <v>11289</v>
      </c>
      <c r="D163" s="82">
        <v>10629</v>
      </c>
      <c r="E163" s="81">
        <v>9401</v>
      </c>
      <c r="F163" s="8">
        <v>14109</v>
      </c>
      <c r="G163" s="8">
        <v>16764</v>
      </c>
      <c r="H163" s="72">
        <f t="shared" si="47"/>
        <v>16109.36961266138</v>
      </c>
      <c r="I163" s="72">
        <f t="shared" si="47"/>
        <v>15480.302393064772</v>
      </c>
      <c r="J163" s="72">
        <f t="shared" si="47"/>
        <v>14875.800105323722</v>
      </c>
      <c r="K163" s="72">
        <f t="shared" si="47"/>
        <v>14294.903494436108</v>
      </c>
      <c r="L163" s="72">
        <f t="shared" si="47"/>
        <v>13736.690764089479</v>
      </c>
    </row>
    <row r="164" spans="1:12" x14ac:dyDescent="0.25">
      <c r="A164" s="8" t="s">
        <v>190</v>
      </c>
      <c r="B164" s="88">
        <v>1050</v>
      </c>
      <c r="C164" s="82">
        <v>854</v>
      </c>
      <c r="D164" s="82">
        <v>726</v>
      </c>
      <c r="E164" s="81">
        <v>368</v>
      </c>
      <c r="F164" s="8">
        <v>745</v>
      </c>
      <c r="G164" s="8">
        <v>627</v>
      </c>
      <c r="H164" s="72">
        <f t="shared" si="47"/>
        <v>602.51579259953985</v>
      </c>
      <c r="I164" s="72">
        <f t="shared" ref="I164" si="48">H164*(1+I$3)</f>
        <v>578.98768792958799</v>
      </c>
      <c r="J164" s="72">
        <f t="shared" ref="J164" si="49">I164*(1+J$3)</f>
        <v>556.37835039596609</v>
      </c>
      <c r="K164" s="72">
        <f t="shared" ref="K164" si="50">J164*(1+K$3)</f>
        <v>534.6519023509569</v>
      </c>
      <c r="L164" s="72">
        <f t="shared" ref="L164" si="51">K164*(1+L$3)</f>
        <v>513.77386716082708</v>
      </c>
    </row>
    <row r="165" spans="1:12" x14ac:dyDescent="0.25">
      <c r="A165" s="8" t="s">
        <v>191</v>
      </c>
      <c r="B165" s="88">
        <v>92023</v>
      </c>
      <c r="C165" s="82">
        <v>89996</v>
      </c>
      <c r="D165" s="82">
        <v>87270</v>
      </c>
      <c r="E165" s="81">
        <v>87896</v>
      </c>
      <c r="F165" s="8">
        <v>83216</v>
      </c>
      <c r="G165" s="8">
        <v>86381</v>
      </c>
      <c r="H165" s="72">
        <f t="shared" ref="H165:L165" si="52">G165*(1+H$3)</f>
        <v>83007.841595758931</v>
      </c>
      <c r="I165" s="72">
        <f t="shared" si="52"/>
        <v>79766.404260041061</v>
      </c>
      <c r="J165" s="72">
        <f t="shared" si="52"/>
        <v>76651.544315078063</v>
      </c>
      <c r="K165" s="72">
        <f t="shared" si="52"/>
        <v>73658.318942548663</v>
      </c>
      <c r="L165" s="72">
        <f t="shared" si="52"/>
        <v>70781.978340062851</v>
      </c>
    </row>
    <row r="166" spans="1:12" x14ac:dyDescent="0.25">
      <c r="A166" s="8" t="s">
        <v>192</v>
      </c>
      <c r="B166" s="82"/>
      <c r="C166" s="82"/>
      <c r="D166" s="82"/>
      <c r="E166" s="82"/>
      <c r="F166" s="8"/>
      <c r="H166" s="72">
        <f t="shared" ref="H166:L166" si="53">G166*(1+H$3)</f>
        <v>0</v>
      </c>
      <c r="I166" s="72">
        <f t="shared" si="53"/>
        <v>0</v>
      </c>
      <c r="J166" s="72">
        <f t="shared" si="53"/>
        <v>0</v>
      </c>
      <c r="K166" s="72">
        <f t="shared" si="53"/>
        <v>0</v>
      </c>
      <c r="L166" s="72">
        <f t="shared" si="53"/>
        <v>0</v>
      </c>
    </row>
    <row r="167" spans="1:12" x14ac:dyDescent="0.25">
      <c r="A167" s="8" t="s">
        <v>193</v>
      </c>
      <c r="B167" s="88">
        <v>9234</v>
      </c>
      <c r="C167" s="82">
        <v>9660</v>
      </c>
      <c r="D167" s="82">
        <v>9490</v>
      </c>
      <c r="E167" s="81">
        <v>8748</v>
      </c>
      <c r="F167" s="8">
        <v>9533</v>
      </c>
      <c r="G167" s="8">
        <v>11312</v>
      </c>
      <c r="H167" s="72">
        <f t="shared" ref="H167:L167" si="54">G167*(1+H$3)</f>
        <v>10870.268972704935</v>
      </c>
      <c r="I167" s="72">
        <f t="shared" si="54"/>
        <v>10445.787441562199</v>
      </c>
      <c r="J167" s="72">
        <f t="shared" si="54"/>
        <v>10037.881817670124</v>
      </c>
      <c r="K167" s="72">
        <f t="shared" si="54"/>
        <v>9645.9048156204535</v>
      </c>
      <c r="L167" s="72">
        <f t="shared" si="54"/>
        <v>9269.2344263529121</v>
      </c>
    </row>
    <row r="168" spans="1:12" x14ac:dyDescent="0.25">
      <c r="A168" s="8" t="s">
        <v>194</v>
      </c>
      <c r="B168" s="88">
        <v>19130</v>
      </c>
      <c r="C168" s="82">
        <v>13129</v>
      </c>
      <c r="D168" s="82">
        <v>12498</v>
      </c>
      <c r="E168" s="81">
        <v>13205</v>
      </c>
      <c r="F168" s="8">
        <v>13835</v>
      </c>
      <c r="G168" s="8">
        <v>10994</v>
      </c>
      <c r="H168" s="72">
        <f t="shared" ref="H168:L168" si="55">G168*(1+H$3)</f>
        <v>10564.686800381724</v>
      </c>
      <c r="I168" s="72">
        <f t="shared" si="55"/>
        <v>10152.138183569203</v>
      </c>
      <c r="J168" s="72">
        <f t="shared" si="55"/>
        <v>9755.6994964166679</v>
      </c>
      <c r="K168" s="72">
        <f t="shared" si="55"/>
        <v>9374.7416498348011</v>
      </c>
      <c r="L168" s="72">
        <f t="shared" si="55"/>
        <v>9008.6601205201478</v>
      </c>
    </row>
    <row r="169" spans="1:12" x14ac:dyDescent="0.25">
      <c r="A169" s="8" t="s">
        <v>195</v>
      </c>
      <c r="B169" s="88">
        <v>3552</v>
      </c>
      <c r="C169" s="82">
        <v>2676</v>
      </c>
      <c r="D169" s="82">
        <v>3527</v>
      </c>
      <c r="E169" s="81">
        <v>3298</v>
      </c>
      <c r="F169" s="8">
        <v>5003</v>
      </c>
      <c r="G169" s="8">
        <v>4253</v>
      </c>
      <c r="H169" s="72">
        <f t="shared" ref="H169:L169" si="56">G169*(1+H$3)</f>
        <v>4086.921317266097</v>
      </c>
      <c r="I169" s="72">
        <f t="shared" si="56"/>
        <v>3927.3279693214317</v>
      </c>
      <c r="J169" s="72">
        <f t="shared" si="56"/>
        <v>3773.9667053174539</v>
      </c>
      <c r="K169" s="72">
        <f t="shared" si="56"/>
        <v>3626.5941637936517</v>
      </c>
      <c r="L169" s="72">
        <f t="shared" si="56"/>
        <v>3484.9764864991985</v>
      </c>
    </row>
    <row r="170" spans="1:12" x14ac:dyDescent="0.25">
      <c r="A170" s="8" t="s">
        <v>196</v>
      </c>
      <c r="B170" s="88">
        <v>400</v>
      </c>
      <c r="C170" s="82">
        <v>331</v>
      </c>
      <c r="D170" s="82">
        <v>307</v>
      </c>
      <c r="E170" s="81">
        <v>410</v>
      </c>
      <c r="F170" s="8">
        <v>411</v>
      </c>
      <c r="G170" s="8">
        <v>414</v>
      </c>
      <c r="H170" s="72">
        <f t="shared" ref="H170:L170" si="57">G170*(1+H$3)</f>
        <v>397.83339415663391</v>
      </c>
      <c r="I170" s="72">
        <f t="shared" si="57"/>
        <v>382.29809059465617</v>
      </c>
      <c r="J170" s="72">
        <f t="shared" si="57"/>
        <v>367.36943710355655</v>
      </c>
      <c r="K170" s="72">
        <f t="shared" si="57"/>
        <v>353.02374413603854</v>
      </c>
      <c r="L170" s="72">
        <f t="shared" si="57"/>
        <v>339.23824721623987</v>
      </c>
    </row>
    <row r="171" spans="1:12" x14ac:dyDescent="0.25">
      <c r="A171" s="8" t="s">
        <v>197</v>
      </c>
      <c r="B171" s="88">
        <v>58</v>
      </c>
      <c r="C171" s="82">
        <v>1133</v>
      </c>
      <c r="D171" s="82">
        <v>710</v>
      </c>
      <c r="E171" s="81">
        <v>37</v>
      </c>
      <c r="F171" s="82">
        <v>0</v>
      </c>
      <c r="G171" s="82">
        <v>0</v>
      </c>
      <c r="H171" s="72">
        <f t="shared" ref="H171:L175" si="58">G171*(1+H$3)</f>
        <v>0</v>
      </c>
      <c r="I171" s="72">
        <f t="shared" si="58"/>
        <v>0</v>
      </c>
      <c r="J171" s="72">
        <f t="shared" si="58"/>
        <v>0</v>
      </c>
      <c r="K171" s="72">
        <f t="shared" si="58"/>
        <v>0</v>
      </c>
      <c r="L171" s="72">
        <f t="shared" si="58"/>
        <v>0</v>
      </c>
    </row>
    <row r="172" spans="1:12" x14ac:dyDescent="0.25">
      <c r="A172" s="8" t="s">
        <v>198</v>
      </c>
      <c r="B172" s="88">
        <v>32374</v>
      </c>
      <c r="C172" s="82">
        <v>26929</v>
      </c>
      <c r="D172" s="82">
        <v>26532</v>
      </c>
      <c r="E172" s="81">
        <v>27194</v>
      </c>
      <c r="F172" s="8">
        <v>28782</v>
      </c>
      <c r="G172" s="8">
        <v>26973</v>
      </c>
      <c r="H172" s="72">
        <f t="shared" si="58"/>
        <v>25919.710484509389</v>
      </c>
      <c r="I172" s="72">
        <f t="shared" ref="I172" si="59">H172*(1+I$3)</f>
        <v>24907.551685047492</v>
      </c>
      <c r="J172" s="72">
        <f t="shared" ref="J172" si="60">I172*(1+J$3)</f>
        <v>23934.917456507803</v>
      </c>
      <c r="K172" s="72">
        <f t="shared" ref="K172" si="61">J172*(1+K$3)</f>
        <v>23000.264373384944</v>
      </c>
      <c r="L172" s="72">
        <f t="shared" ref="L172" si="62">K172*(1+L$3)</f>
        <v>22102.109280588495</v>
      </c>
    </row>
    <row r="173" spans="1:12" x14ac:dyDescent="0.25">
      <c r="A173" s="8" t="s">
        <v>199</v>
      </c>
      <c r="B173" s="88">
        <v>19063</v>
      </c>
      <c r="C173" s="82">
        <v>28311</v>
      </c>
      <c r="D173" s="82">
        <v>29684</v>
      </c>
      <c r="E173" s="81">
        <v>31182</v>
      </c>
      <c r="F173" s="8">
        <v>25376</v>
      </c>
      <c r="G173" s="8">
        <v>27516</v>
      </c>
      <c r="H173" s="72">
        <f>G173*(1+H$3)</f>
        <v>26441.506458004686</v>
      </c>
      <c r="I173" s="72">
        <f t="shared" si="58"/>
        <v>25408.971644450627</v>
      </c>
      <c r="J173" s="72">
        <f t="shared" si="58"/>
        <v>24416.757080534931</v>
      </c>
      <c r="K173" s="72">
        <f t="shared" si="58"/>
        <v>23463.288269679313</v>
      </c>
      <c r="L173" s="72">
        <f t="shared" si="58"/>
        <v>22547.052199038782</v>
      </c>
    </row>
    <row r="174" spans="1:12" x14ac:dyDescent="0.25">
      <c r="A174" s="8" t="s">
        <v>200</v>
      </c>
      <c r="B174" s="88">
        <v>4389</v>
      </c>
      <c r="C174" s="82">
        <v>4301</v>
      </c>
      <c r="D174" s="82">
        <v>4081</v>
      </c>
      <c r="E174" s="81">
        <v>8021</v>
      </c>
      <c r="F174" s="8">
        <v>7646</v>
      </c>
      <c r="G174" s="8">
        <v>8510</v>
      </c>
      <c r="H174" s="72">
        <f t="shared" si="58"/>
        <v>8177.6864354419195</v>
      </c>
      <c r="I174" s="72">
        <f t="shared" ref="I174" si="63">H174*(1+I$3)</f>
        <v>7858.3496400012655</v>
      </c>
      <c r="J174" s="72">
        <f t="shared" ref="J174" si="64">I174*(1+J$3)</f>
        <v>7551.4828737953285</v>
      </c>
      <c r="K174" s="72">
        <f t="shared" ref="K174" si="65">J174*(1+K$3)</f>
        <v>7256.5991850185692</v>
      </c>
      <c r="L174" s="72">
        <f t="shared" ref="L174" si="66">K174*(1+L$3)</f>
        <v>6973.2306372227076</v>
      </c>
    </row>
    <row r="175" spans="1:12" x14ac:dyDescent="0.25">
      <c r="A175" s="8" t="s">
        <v>201</v>
      </c>
      <c r="B175" s="88">
        <v>5636</v>
      </c>
      <c r="C175" s="82">
        <v>4691</v>
      </c>
      <c r="D175" s="82">
        <v>3753</v>
      </c>
      <c r="E175" s="81">
        <v>2522</v>
      </c>
      <c r="F175" s="8">
        <v>2354</v>
      </c>
      <c r="G175" s="8">
        <v>2284</v>
      </c>
      <c r="H175" s="72">
        <f t="shared" si="58"/>
        <v>2194.810319453507</v>
      </c>
      <c r="I175" s="72">
        <f>H175*(1+I$3)</f>
        <v>2109.1034756478134</v>
      </c>
      <c r="J175" s="72">
        <f t="shared" ref="H175:L175" si="67">I175*(1+J$3)</f>
        <v>2026.7434646002976</v>
      </c>
      <c r="K175" s="72">
        <f t="shared" si="67"/>
        <v>1947.5995932529277</v>
      </c>
      <c r="L175" s="72">
        <f t="shared" si="67"/>
        <v>1871.5462720818646</v>
      </c>
    </row>
    <row r="176" spans="1:12" x14ac:dyDescent="0.25">
      <c r="A176" s="8" t="s">
        <v>202</v>
      </c>
      <c r="B176" s="82">
        <v>4115</v>
      </c>
      <c r="C176" s="82"/>
      <c r="D176" s="82"/>
      <c r="E176" s="82"/>
      <c r="F176" s="8"/>
      <c r="H176" s="72"/>
      <c r="I176" s="72"/>
      <c r="J176" s="72"/>
      <c r="K176" s="72"/>
      <c r="L176" s="72"/>
    </row>
    <row r="177" spans="1:12" x14ac:dyDescent="0.25">
      <c r="A177" s="8" t="s">
        <v>203</v>
      </c>
      <c r="B177" s="88">
        <v>1760</v>
      </c>
      <c r="C177" s="82">
        <v>1760</v>
      </c>
      <c r="D177" s="82">
        <v>1760</v>
      </c>
      <c r="E177" s="81">
        <v>1760</v>
      </c>
      <c r="F177" s="8">
        <v>1760</v>
      </c>
      <c r="G177" s="8">
        <v>1760</v>
      </c>
      <c r="H177" s="72">
        <f t="shared" ref="H177:L177" si="68">G177*(1+H$3)</f>
        <v>1691.27240027941</v>
      </c>
      <c r="I177" s="72">
        <f t="shared" si="68"/>
        <v>1625.2285976970891</v>
      </c>
      <c r="J177" s="72">
        <f t="shared" si="68"/>
        <v>1561.763790585168</v>
      </c>
      <c r="K177" s="72">
        <f t="shared" si="68"/>
        <v>1500.777269757072</v>
      </c>
      <c r="L177" s="72">
        <f t="shared" si="68"/>
        <v>1442.1722586970584</v>
      </c>
    </row>
    <row r="178" spans="1:12" x14ac:dyDescent="0.25">
      <c r="A178" s="8" t="s">
        <v>204</v>
      </c>
      <c r="B178" s="88">
        <v>13154</v>
      </c>
      <c r="C178" s="82">
        <v>14016</v>
      </c>
      <c r="D178" s="82">
        <v>14993</v>
      </c>
      <c r="E178" s="81">
        <v>15864</v>
      </c>
      <c r="F178" s="8">
        <v>16520</v>
      </c>
      <c r="G178" s="8">
        <v>17154</v>
      </c>
      <c r="H178" s="72">
        <f t="shared" ref="H178:L178" si="69">G178*(1+H$3)</f>
        <v>16484.14020135966</v>
      </c>
      <c r="I178" s="72">
        <f t="shared" si="69"/>
        <v>15840.438275509016</v>
      </c>
      <c r="J178" s="72">
        <f t="shared" si="69"/>
        <v>15221.872763464757</v>
      </c>
      <c r="K178" s="72">
        <f t="shared" si="69"/>
        <v>14627.462093984554</v>
      </c>
      <c r="L178" s="72">
        <f t="shared" si="69"/>
        <v>14056.263025959852</v>
      </c>
    </row>
    <row r="179" spans="1:12" x14ac:dyDescent="0.25">
      <c r="A179" s="8" t="s">
        <v>205</v>
      </c>
      <c r="B179" s="88">
        <v>63408</v>
      </c>
      <c r="C179" s="82">
        <v>65018</v>
      </c>
      <c r="D179" s="82">
        <v>65502</v>
      </c>
      <c r="E179" s="81">
        <v>60430</v>
      </c>
      <c r="F179" s="8">
        <v>63234</v>
      </c>
      <c r="G179" s="8">
        <v>65855</v>
      </c>
      <c r="H179" s="72">
        <f t="shared" ref="H179:L179" si="70">G179*(1+H$3)</f>
        <v>63283.377227500307</v>
      </c>
      <c r="I179" s="72">
        <f t="shared" si="70"/>
        <v>60812.17573939875</v>
      </c>
      <c r="J179" s="72">
        <f t="shared" si="70"/>
        <v>58437.474107378541</v>
      </c>
      <c r="K179" s="72">
        <f t="shared" si="70"/>
        <v>56155.504034006808</v>
      </c>
      <c r="L179" s="72">
        <f t="shared" si="70"/>
        <v>53962.644373008399</v>
      </c>
    </row>
    <row r="180" spans="1:12" x14ac:dyDescent="0.25">
      <c r="A180" s="8" t="s">
        <v>206</v>
      </c>
      <c r="B180" s="88">
        <v>-5777</v>
      </c>
      <c r="C180" s="82">
        <v>-10174</v>
      </c>
      <c r="D180" s="82">
        <v>-11205</v>
      </c>
      <c r="E180" s="81">
        <v>-10305</v>
      </c>
      <c r="F180" s="8">
        <v>-12814</v>
      </c>
      <c r="G180" s="8">
        <v>-13544</v>
      </c>
      <c r="H180" s="72">
        <f t="shared" ref="H180:L180" si="71">G180*(1+H$3)</f>
        <v>-13015.109880332006</v>
      </c>
      <c r="I180" s="72">
        <f t="shared" si="71"/>
        <v>-12506.872799550782</v>
      </c>
      <c r="J180" s="72">
        <f t="shared" si="71"/>
        <v>-12018.482261184952</v>
      </c>
      <c r="K180" s="72">
        <f t="shared" si="71"/>
        <v>-11549.163262266924</v>
      </c>
      <c r="L180" s="72">
        <f t="shared" si="71"/>
        <v>-11098.171063518728</v>
      </c>
    </row>
    <row r="181" spans="1:12" x14ac:dyDescent="0.25">
      <c r="A181" s="8" t="s">
        <v>217</v>
      </c>
      <c r="B181" s="88">
        <v>-42225</v>
      </c>
      <c r="C181" s="82">
        <v>-45066</v>
      </c>
      <c r="D181" s="82">
        <v>-47988</v>
      </c>
      <c r="E181" s="81">
        <v>-50677</v>
      </c>
      <c r="F181" s="8">
        <v>-51719</v>
      </c>
      <c r="G181" s="8">
        <v>-52244</v>
      </c>
      <c r="H181" s="72">
        <f t="shared" ref="H181:L181" si="72">G181*(1+H$3)</f>
        <v>-50203.883681930398</v>
      </c>
      <c r="I181" s="72">
        <f t="shared" si="72"/>
        <v>-48243.433442094734</v>
      </c>
      <c r="J181" s="72">
        <f t="shared" si="72"/>
        <v>-46359.538338256549</v>
      </c>
      <c r="K181" s="72">
        <f t="shared" si="72"/>
        <v>-44549.208909766181</v>
      </c>
      <c r="L181" s="72">
        <f t="shared" si="72"/>
        <v>-42809.572433732457</v>
      </c>
    </row>
    <row r="182" spans="1:12" x14ac:dyDescent="0.25">
      <c r="A182" s="8" t="s">
        <v>207</v>
      </c>
      <c r="B182" s="88">
        <v>30320</v>
      </c>
      <c r="C182" s="82">
        <v>25554</v>
      </c>
      <c r="D182" s="82">
        <v>23062</v>
      </c>
      <c r="E182" s="81">
        <v>17072</v>
      </c>
      <c r="F182" s="8">
        <v>16981</v>
      </c>
      <c r="G182" s="8">
        <v>18981</v>
      </c>
      <c r="H182" s="72">
        <f t="shared" ref="H182:L182" si="73">G182*(1+H$3)</f>
        <v>18239.79626687698</v>
      </c>
      <c r="I182" s="72">
        <f t="shared" si="73"/>
        <v>17527.536370959348</v>
      </c>
      <c r="J182" s="72">
        <f t="shared" si="73"/>
        <v>16843.090061986975</v>
      </c>
      <c r="K182" s="72">
        <f t="shared" si="73"/>
        <v>16185.371225715335</v>
      </c>
      <c r="L182" s="72">
        <f t="shared" si="73"/>
        <v>15553.33616041413</v>
      </c>
    </row>
    <row r="183" spans="1:12" x14ac:dyDescent="0.25">
      <c r="A183" s="8" t="s">
        <v>208</v>
      </c>
      <c r="B183" s="88">
        <v>241</v>
      </c>
      <c r="C183" s="82">
        <v>210</v>
      </c>
      <c r="D183" s="82">
        <v>158</v>
      </c>
      <c r="E183" s="81">
        <v>1905</v>
      </c>
      <c r="F183" s="8">
        <v>2077</v>
      </c>
      <c r="G183" s="8">
        <v>2117</v>
      </c>
      <c r="H183" s="72">
        <f>G183*(1+H$3)</f>
        <v>2034.3316314724493</v>
      </c>
      <c r="I183" s="72">
        <f>H183*(1+I$3)</f>
        <v>1954.8914439345099</v>
      </c>
      <c r="J183" s="72">
        <f t="shared" ref="J183:L183" si="74">I183*(1+J$3)</f>
        <v>1878.5533776527275</v>
      </c>
      <c r="K183" s="72">
        <f t="shared" si="74"/>
        <v>1805.1962954975691</v>
      </c>
      <c r="L183" s="72">
        <f t="shared" si="74"/>
        <v>1734.7037907168594</v>
      </c>
    </row>
    <row r="184" spans="1:12" x14ac:dyDescent="0.25">
      <c r="A184" s="8" t="s">
        <v>209</v>
      </c>
      <c r="B184" s="88">
        <v>30561</v>
      </c>
      <c r="C184" s="82">
        <v>25764</v>
      </c>
      <c r="D184" s="82">
        <v>23220</v>
      </c>
      <c r="E184" s="81">
        <v>18977</v>
      </c>
      <c r="F184" s="8">
        <v>19058</v>
      </c>
      <c r="G184" s="8">
        <v>21098</v>
      </c>
      <c r="H184" s="72">
        <f t="shared" ref="H184:L185" si="75">G184*(1+H$3)</f>
        <v>20274.127898349427</v>
      </c>
      <c r="I184" s="72">
        <f t="shared" si="75"/>
        <v>19482.427814893854</v>
      </c>
      <c r="J184" s="72">
        <f t="shared" si="75"/>
        <v>18721.643439639698</v>
      </c>
      <c r="K184" s="72">
        <f t="shared" si="75"/>
        <v>17990.567521212899</v>
      </c>
      <c r="L184" s="72">
        <f t="shared" si="75"/>
        <v>17288.039951130984</v>
      </c>
    </row>
    <row r="185" spans="1:12" x14ac:dyDescent="0.25">
      <c r="A185" s="8" t="s">
        <v>210</v>
      </c>
      <c r="B185" s="88">
        <v>92023</v>
      </c>
      <c r="C185" s="82">
        <v>89996</v>
      </c>
      <c r="D185" s="82">
        <v>87270</v>
      </c>
      <c r="E185" s="81">
        <v>87896</v>
      </c>
      <c r="F185" s="8">
        <v>83216</v>
      </c>
      <c r="G185" s="8">
        <v>86381</v>
      </c>
      <c r="H185" s="72">
        <f t="shared" si="75"/>
        <v>83007.841595758931</v>
      </c>
      <c r="I185" s="72">
        <f t="shared" si="75"/>
        <v>79766.404260041061</v>
      </c>
      <c r="J185" s="72">
        <f t="shared" si="75"/>
        <v>76651.544315078063</v>
      </c>
      <c r="K185" s="72">
        <f t="shared" si="75"/>
        <v>73658.318942548663</v>
      </c>
      <c r="L185" s="72">
        <f t="shared" si="75"/>
        <v>70781.978340062851</v>
      </c>
    </row>
    <row r="187" spans="1:12" ht="30" x14ac:dyDescent="0.25">
      <c r="A187" s="48" t="s">
        <v>71</v>
      </c>
    </row>
    <row r="188" spans="1:12" x14ac:dyDescent="0.25">
      <c r="C188" s="8" t="s">
        <v>0</v>
      </c>
      <c r="D188" s="8" t="s">
        <v>1</v>
      </c>
      <c r="E188" s="8" t="s">
        <v>2</v>
      </c>
      <c r="F188" s="82" t="s">
        <v>3</v>
      </c>
      <c r="G188" s="8" t="s">
        <v>4</v>
      </c>
      <c r="H188" s="8" t="s">
        <v>271</v>
      </c>
      <c r="I188" s="8" t="s">
        <v>272</v>
      </c>
      <c r="J188" s="8" t="s">
        <v>273</v>
      </c>
      <c r="K188" s="8" t="s">
        <v>274</v>
      </c>
      <c r="L188" s="8" t="s">
        <v>275</v>
      </c>
    </row>
    <row r="189" spans="1:12" x14ac:dyDescent="0.25">
      <c r="A189" s="8" t="s">
        <v>219</v>
      </c>
    </row>
    <row r="190" spans="1:12" x14ac:dyDescent="0.25">
      <c r="A190" s="8" t="s">
        <v>169</v>
      </c>
      <c r="C190" s="82">
        <v>7366</v>
      </c>
      <c r="D190" s="82">
        <v>6550</v>
      </c>
      <c r="E190" s="8">
        <v>1283</v>
      </c>
      <c r="F190" s="8">
        <v>6476</v>
      </c>
      <c r="G190" s="8">
        <v>8985</v>
      </c>
      <c r="H190" s="72">
        <f>H133</f>
        <v>1730.6713596041009</v>
      </c>
      <c r="I190" s="72">
        <f t="shared" ref="I190:L190" si="76">I133</f>
        <v>1663.0890366207145</v>
      </c>
      <c r="J190" s="72">
        <f t="shared" si="76"/>
        <v>1598.1457879794816</v>
      </c>
      <c r="K190" s="72">
        <f t="shared" si="76"/>
        <v>1535.7385584275494</v>
      </c>
      <c r="L190" s="72">
        <f t="shared" si="76"/>
        <v>1475.7683169962513</v>
      </c>
    </row>
    <row r="191" spans="1:12" x14ac:dyDescent="0.25">
      <c r="A191" s="8" t="s">
        <v>220</v>
      </c>
      <c r="C191" s="82">
        <v>1970</v>
      </c>
      <c r="D191" s="82">
        <v>1787</v>
      </c>
      <c r="E191" s="8">
        <v>1260</v>
      </c>
      <c r="F191" s="8">
        <v>1086</v>
      </c>
      <c r="G191" s="8">
        <v>1365</v>
      </c>
      <c r="H191" s="72">
        <f>AVERAGE(C191:G191)</f>
        <v>1493.6</v>
      </c>
      <c r="I191" s="72">
        <f t="shared" ref="I191:K191" si="77">AVERAGE(D191:H191)</f>
        <v>1398.3200000000002</v>
      </c>
      <c r="J191" s="72">
        <f t="shared" si="77"/>
        <v>1320.5840000000001</v>
      </c>
      <c r="K191" s="72">
        <f t="shared" si="77"/>
        <v>1332.7008000000001</v>
      </c>
      <c r="L191" s="72">
        <f>AVERAGE(G191:K191)</f>
        <v>1382.0409599999998</v>
      </c>
    </row>
    <row r="192" spans="1:12" x14ac:dyDescent="0.25">
      <c r="A192" s="8" t="s">
        <v>221</v>
      </c>
      <c r="C192" s="82">
        <v>236</v>
      </c>
      <c r="D192" s="82">
        <v>258</v>
      </c>
      <c r="E192" s="8">
        <v>219</v>
      </c>
      <c r="F192" s="8">
        <v>225</v>
      </c>
      <c r="G192" s="8">
        <v>201</v>
      </c>
      <c r="H192" s="72">
        <f t="shared" ref="H192:L200" si="78">G192*(1+H$3)</f>
        <v>193.15099571372807</v>
      </c>
      <c r="I192" s="72">
        <f t="shared" si="78"/>
        <v>185.60849325972438</v>
      </c>
      <c r="J192" s="72">
        <f t="shared" si="78"/>
        <v>178.360523811147</v>
      </c>
      <c r="K192" s="72">
        <f t="shared" si="78"/>
        <v>171.39558592112013</v>
      </c>
      <c r="L192" s="72">
        <f t="shared" si="78"/>
        <v>164.70262727165266</v>
      </c>
    </row>
    <row r="193" spans="1:12" x14ac:dyDescent="0.25">
      <c r="A193" s="8" t="s">
        <v>222</v>
      </c>
      <c r="C193" s="82">
        <v>73</v>
      </c>
      <c r="D193" s="82">
        <v>-856</v>
      </c>
      <c r="E193" s="8">
        <v>-1252</v>
      </c>
      <c r="F193" s="8">
        <v>-413</v>
      </c>
      <c r="G193" s="8">
        <v>-280</v>
      </c>
      <c r="H193" s="72">
        <f t="shared" si="78"/>
        <v>-269.0660636808152</v>
      </c>
      <c r="I193" s="72">
        <f t="shared" si="78"/>
        <v>-258.55909508817325</v>
      </c>
      <c r="J193" s="72">
        <f t="shared" si="78"/>
        <v>-248.4624212294585</v>
      </c>
      <c r="K193" s="72">
        <f t="shared" si="78"/>
        <v>-238.76002018862505</v>
      </c>
      <c r="L193" s="72">
        <f t="shared" si="78"/>
        <v>-229.43649570180469</v>
      </c>
    </row>
    <row r="194" spans="1:12" x14ac:dyDescent="0.25">
      <c r="A194" s="8" t="s">
        <v>223</v>
      </c>
      <c r="C194" s="82">
        <v>-122</v>
      </c>
      <c r="D194" s="82">
        <v>-449</v>
      </c>
      <c r="E194" s="8">
        <v>-628</v>
      </c>
      <c r="F194" s="8">
        <v>-457</v>
      </c>
      <c r="G194" s="8">
        <v>-421</v>
      </c>
      <c r="H194" s="72">
        <f t="shared" si="78"/>
        <v>-404.56004574865432</v>
      </c>
      <c r="I194" s="72">
        <f t="shared" si="78"/>
        <v>-388.76206797186052</v>
      </c>
      <c r="J194" s="72">
        <f t="shared" si="78"/>
        <v>-373.580997634293</v>
      </c>
      <c r="K194" s="72">
        <f t="shared" si="78"/>
        <v>-358.99274464075415</v>
      </c>
      <c r="L194" s="72">
        <f t="shared" si="78"/>
        <v>-344.97415960878499</v>
      </c>
    </row>
    <row r="195" spans="1:12" x14ac:dyDescent="0.25">
      <c r="A195" s="8" t="s">
        <v>224</v>
      </c>
      <c r="C195" s="82">
        <v>-137</v>
      </c>
      <c r="D195" s="82">
        <v>158</v>
      </c>
      <c r="E195" s="8">
        <v>292</v>
      </c>
      <c r="F195" s="8">
        <v>-50</v>
      </c>
      <c r="G195" s="8">
        <v>91</v>
      </c>
      <c r="H195" s="72">
        <f t="shared" si="78"/>
        <v>87.446470696264953</v>
      </c>
      <c r="I195" s="72">
        <f t="shared" si="78"/>
        <v>84.031705903656317</v>
      </c>
      <c r="J195" s="72">
        <f t="shared" si="78"/>
        <v>80.750286899574022</v>
      </c>
      <c r="K195" s="72">
        <f t="shared" si="78"/>
        <v>77.597006561303161</v>
      </c>
      <c r="L195" s="72">
        <f t="shared" si="78"/>
        <v>74.566861103086552</v>
      </c>
    </row>
    <row r="196" spans="1:12" x14ac:dyDescent="0.25">
      <c r="A196" s="8" t="s">
        <v>225</v>
      </c>
      <c r="C196" s="82">
        <v>-374</v>
      </c>
      <c r="D196" s="82">
        <v>1146</v>
      </c>
      <c r="E196" s="8">
        <v>1459</v>
      </c>
      <c r="F196" s="8">
        <v>743</v>
      </c>
      <c r="G196" s="8">
        <v>-467</v>
      </c>
      <c r="H196" s="72">
        <f t="shared" si="78"/>
        <v>-448.76375621050255</v>
      </c>
      <c r="I196" s="72">
        <f t="shared" si="78"/>
        <v>-431.23963359348897</v>
      </c>
      <c r="J196" s="72">
        <f t="shared" si="78"/>
        <v>-414.39982397913258</v>
      </c>
      <c r="K196" s="72">
        <f t="shared" si="78"/>
        <v>-398.21760510031396</v>
      </c>
      <c r="L196" s="72">
        <f t="shared" si="78"/>
        <v>-382.66729818836717</v>
      </c>
    </row>
    <row r="197" spans="1:12" x14ac:dyDescent="0.25">
      <c r="A197" s="8" t="s">
        <v>162</v>
      </c>
      <c r="C197" s="82">
        <v>929</v>
      </c>
      <c r="D197" s="82">
        <v>647</v>
      </c>
      <c r="E197" s="8">
        <v>1218</v>
      </c>
      <c r="F197" s="8">
        <v>558</v>
      </c>
      <c r="G197" s="8">
        <v>127</v>
      </c>
      <c r="H197" s="72">
        <f t="shared" si="78"/>
        <v>122.04067888379834</v>
      </c>
      <c r="I197" s="72">
        <f t="shared" si="78"/>
        <v>117.27501812927859</v>
      </c>
      <c r="J197" s="72">
        <f t="shared" si="78"/>
        <v>112.69545534336154</v>
      </c>
      <c r="K197" s="72">
        <f t="shared" si="78"/>
        <v>108.2947234426978</v>
      </c>
      <c r="L197" s="72">
        <f t="shared" si="78"/>
        <v>104.06583912188999</v>
      </c>
    </row>
    <row r="198" spans="1:12" x14ac:dyDescent="0.25">
      <c r="A198" s="8" t="s">
        <v>226</v>
      </c>
      <c r="C198" s="82">
        <v>744</v>
      </c>
      <c r="D198" s="82">
        <v>-224</v>
      </c>
      <c r="E198" s="8">
        <v>-252</v>
      </c>
      <c r="F198" s="8">
        <v>699</v>
      </c>
      <c r="G198" s="8">
        <v>504</v>
      </c>
      <c r="H198" s="72">
        <f t="shared" si="78"/>
        <v>484.31891462546741</v>
      </c>
      <c r="I198" s="72">
        <f t="shared" si="78"/>
        <v>465.40637115871186</v>
      </c>
      <c r="J198" s="72">
        <f t="shared" si="78"/>
        <v>447.23235821302535</v>
      </c>
      <c r="K198" s="72">
        <f t="shared" si="78"/>
        <v>429.76803633952517</v>
      </c>
      <c r="L198" s="72">
        <f t="shared" si="78"/>
        <v>412.98569226324855</v>
      </c>
    </row>
    <row r="199" spans="1:12" x14ac:dyDescent="0.25">
      <c r="A199" s="8" t="s">
        <v>227</v>
      </c>
      <c r="C199" s="82">
        <v>-157</v>
      </c>
      <c r="D199" s="82">
        <v>-221</v>
      </c>
      <c r="E199" s="8">
        <v>3442</v>
      </c>
      <c r="F199" s="8">
        <v>-1240</v>
      </c>
      <c r="G199" s="8">
        <v>366</v>
      </c>
      <c r="H199" s="72">
        <f t="shared" si="78"/>
        <v>351.70778323992278</v>
      </c>
      <c r="I199" s="72">
        <f t="shared" si="78"/>
        <v>337.97367429382649</v>
      </c>
      <c r="J199" s="72">
        <f t="shared" si="78"/>
        <v>324.7758791785065</v>
      </c>
      <c r="K199" s="72">
        <f t="shared" si="78"/>
        <v>312.09345496084563</v>
      </c>
      <c r="L199" s="72">
        <f t="shared" si="78"/>
        <v>299.90627652450189</v>
      </c>
    </row>
    <row r="200" spans="1:12" x14ac:dyDescent="0.25">
      <c r="A200" s="8" t="s">
        <v>228</v>
      </c>
      <c r="C200" s="82">
        <v>10528</v>
      </c>
      <c r="D200" s="82">
        <v>8796</v>
      </c>
      <c r="E200" s="8">
        <v>7041</v>
      </c>
      <c r="F200" s="8">
        <v>7627</v>
      </c>
      <c r="G200" s="8">
        <v>10471</v>
      </c>
      <c r="H200" s="72">
        <f t="shared" si="78"/>
        <v>10062.109831435058</v>
      </c>
      <c r="I200" s="72">
        <f t="shared" si="78"/>
        <v>9669.1867309580794</v>
      </c>
      <c r="J200" s="72">
        <f t="shared" si="78"/>
        <v>9291.6071881916432</v>
      </c>
      <c r="K200" s="72">
        <f t="shared" si="78"/>
        <v>8928.7720406967619</v>
      </c>
      <c r="L200" s="72">
        <f t="shared" si="78"/>
        <v>8580.1055231914197</v>
      </c>
    </row>
    <row r="201" spans="1:12" x14ac:dyDescent="0.25">
      <c r="A201" s="8" t="s">
        <v>229</v>
      </c>
      <c r="C201" s="82"/>
      <c r="D201" s="82"/>
      <c r="F201" s="8"/>
      <c r="H201" s="72"/>
      <c r="I201" s="72"/>
      <c r="J201" s="72"/>
      <c r="K201" s="72"/>
      <c r="L201" s="72"/>
    </row>
    <row r="202" spans="1:12" x14ac:dyDescent="0.25">
      <c r="A202" s="8" t="s">
        <v>230</v>
      </c>
      <c r="C202" s="82">
        <v>-15831</v>
      </c>
      <c r="D202" s="82">
        <v>-15499</v>
      </c>
      <c r="E202" s="8">
        <v>-17296</v>
      </c>
      <c r="F202" s="8">
        <v>-7789</v>
      </c>
      <c r="G202" s="8">
        <v>-4704</v>
      </c>
      <c r="H202" s="72">
        <f t="shared" ref="H202:L209" si="79">G202*(1+H$3)</f>
        <v>-4520.3098698376962</v>
      </c>
      <c r="I202" s="72">
        <f t="shared" si="79"/>
        <v>-4343.792797481311</v>
      </c>
      <c r="J202" s="72">
        <f t="shared" si="79"/>
        <v>-4174.1686766549037</v>
      </c>
      <c r="K202" s="72">
        <f t="shared" si="79"/>
        <v>-4011.1683391689021</v>
      </c>
      <c r="L202" s="72">
        <f t="shared" si="79"/>
        <v>-3854.5331277903201</v>
      </c>
    </row>
    <row r="203" spans="1:12" x14ac:dyDescent="0.25">
      <c r="A203" s="8" t="s">
        <v>231</v>
      </c>
      <c r="C203" s="82">
        <v>14079</v>
      </c>
      <c r="D203" s="82">
        <v>16624</v>
      </c>
      <c r="E203" s="8">
        <v>16694</v>
      </c>
      <c r="F203" s="8">
        <v>14977</v>
      </c>
      <c r="G203" s="8">
        <v>6973</v>
      </c>
      <c r="H203" s="72">
        <f t="shared" si="79"/>
        <v>6700.7059358797305</v>
      </c>
      <c r="I203" s="72">
        <f t="shared" si="79"/>
        <v>6439.0448930351149</v>
      </c>
      <c r="J203" s="72">
        <f t="shared" si="79"/>
        <v>6187.6016544036229</v>
      </c>
      <c r="K203" s="72">
        <f t="shared" si="79"/>
        <v>5945.9772170545812</v>
      </c>
      <c r="L203" s="72">
        <f t="shared" si="79"/>
        <v>5713.7881590310162</v>
      </c>
    </row>
    <row r="204" spans="1:12" x14ac:dyDescent="0.25">
      <c r="A204" s="8" t="s">
        <v>232</v>
      </c>
      <c r="C204" s="82">
        <v>-2491</v>
      </c>
      <c r="D204" s="82">
        <v>-838</v>
      </c>
      <c r="E204" s="8">
        <v>-3809</v>
      </c>
      <c r="F204" s="8">
        <v>-1263</v>
      </c>
      <c r="G204" s="8">
        <v>-5542</v>
      </c>
      <c r="H204" s="72">
        <f t="shared" si="79"/>
        <v>-5325.5861604252786</v>
      </c>
      <c r="I204" s="72">
        <f t="shared" si="79"/>
        <v>-5117.6232320666295</v>
      </c>
      <c r="J204" s="72">
        <f t="shared" si="79"/>
        <v>-4917.7812087630682</v>
      </c>
      <c r="K204" s="72">
        <f t="shared" si="79"/>
        <v>-4725.7429710191436</v>
      </c>
      <c r="L204" s="72">
        <f t="shared" si="79"/>
        <v>-4541.2037827835784</v>
      </c>
    </row>
    <row r="205" spans="1:12" x14ac:dyDescent="0.25">
      <c r="A205" s="8" t="s">
        <v>233</v>
      </c>
      <c r="C205" s="82">
        <v>565</v>
      </c>
      <c r="D205" s="82">
        <v>1035</v>
      </c>
      <c r="E205" s="8">
        <v>3821</v>
      </c>
      <c r="F205" s="8">
        <v>1362</v>
      </c>
      <c r="G205" s="8">
        <v>429</v>
      </c>
      <c r="H205" s="72">
        <f t="shared" si="79"/>
        <v>412.24764756810617</v>
      </c>
      <c r="I205" s="72">
        <f t="shared" si="79"/>
        <v>396.14947068866547</v>
      </c>
      <c r="J205" s="72">
        <f t="shared" si="79"/>
        <v>380.67992395513465</v>
      </c>
      <c r="K205" s="72">
        <f t="shared" si="79"/>
        <v>365.81445950328629</v>
      </c>
      <c r="L205" s="72">
        <f t="shared" si="79"/>
        <v>351.52948805740795</v>
      </c>
    </row>
    <row r="206" spans="1:12" x14ac:dyDescent="0.25">
      <c r="A206" s="8" t="s">
        <v>234</v>
      </c>
      <c r="C206" s="82">
        <v>-2553</v>
      </c>
      <c r="D206" s="82">
        <v>-2262</v>
      </c>
      <c r="E206" s="8">
        <v>-1750</v>
      </c>
      <c r="F206" s="8">
        <v>-1548</v>
      </c>
      <c r="G206" s="8">
        <v>-2054</v>
      </c>
      <c r="H206" s="72">
        <f t="shared" si="79"/>
        <v>-1973.791767144266</v>
      </c>
      <c r="I206" s="72">
        <f t="shared" si="79"/>
        <v>-1896.7156475396712</v>
      </c>
      <c r="J206" s="72">
        <f t="shared" si="79"/>
        <v>-1822.6493328760994</v>
      </c>
      <c r="K206" s="72">
        <f t="shared" si="79"/>
        <v>-1751.4752909551285</v>
      </c>
      <c r="L206" s="72">
        <f t="shared" si="79"/>
        <v>-1683.0805791839534</v>
      </c>
    </row>
    <row r="207" spans="1:12" x14ac:dyDescent="0.25">
      <c r="A207" s="8" t="s">
        <v>235</v>
      </c>
      <c r="C207" s="82">
        <v>85</v>
      </c>
      <c r="D207" s="82">
        <v>150</v>
      </c>
      <c r="E207" s="8">
        <v>108</v>
      </c>
      <c r="F207" s="8">
        <v>248</v>
      </c>
      <c r="G207" s="8">
        <v>978</v>
      </c>
      <c r="H207" s="72">
        <f t="shared" si="79"/>
        <v>939.80932242799031</v>
      </c>
      <c r="I207" s="72">
        <f t="shared" si="79"/>
        <v>903.10998212940513</v>
      </c>
      <c r="J207" s="72">
        <f t="shared" si="79"/>
        <v>867.84374272289438</v>
      </c>
      <c r="K207" s="72">
        <f t="shared" si="79"/>
        <v>833.95464194455474</v>
      </c>
      <c r="L207" s="72">
        <f t="shared" si="79"/>
        <v>801.38890284416084</v>
      </c>
    </row>
    <row r="208" spans="1:12" x14ac:dyDescent="0.25">
      <c r="A208" s="8" t="s">
        <v>236</v>
      </c>
      <c r="C208" s="82">
        <v>-40</v>
      </c>
      <c r="D208" s="82">
        <v>-209</v>
      </c>
      <c r="E208" s="8">
        <v>-80</v>
      </c>
      <c r="F208" s="8">
        <v>-60</v>
      </c>
      <c r="G208" s="8">
        <v>-56</v>
      </c>
      <c r="H208" s="72">
        <f t="shared" si="79"/>
        <v>-53.813212736163045</v>
      </c>
      <c r="I208" s="72">
        <f t="shared" si="79"/>
        <v>-51.711819017634653</v>
      </c>
      <c r="J208" s="72">
        <f t="shared" si="79"/>
        <v>-49.692484245891706</v>
      </c>
      <c r="K208" s="72">
        <f t="shared" si="79"/>
        <v>-47.752004037725015</v>
      </c>
      <c r="L208" s="72">
        <f t="shared" si="79"/>
        <v>-45.887299140360945</v>
      </c>
    </row>
    <row r="209" spans="1:12" x14ac:dyDescent="0.25">
      <c r="A209" s="8" t="s">
        <v>237</v>
      </c>
      <c r="C209" s="82">
        <v>-6186</v>
      </c>
      <c r="D209" s="82">
        <v>-999</v>
      </c>
      <c r="E209" s="8">
        <v>-2312</v>
      </c>
      <c r="F209" s="8">
        <v>5927</v>
      </c>
      <c r="G209" s="8">
        <v>-3976</v>
      </c>
      <c r="H209" s="72">
        <f t="shared" si="79"/>
        <v>-3820.7381042675761</v>
      </c>
      <c r="I209" s="72">
        <f t="shared" ref="I209" si="80">H209*(1+I$3)</f>
        <v>-3671.5391502520602</v>
      </c>
      <c r="J209" s="72">
        <f t="shared" ref="J209" si="81">I209*(1+J$3)</f>
        <v>-3528.1663814583108</v>
      </c>
      <c r="K209" s="72">
        <f t="shared" ref="K209" si="82">J209*(1+K$3)</f>
        <v>-3390.392286678476</v>
      </c>
      <c r="L209" s="72">
        <f t="shared" ref="L209" si="83">K209*(1+L$3)</f>
        <v>-3257.998238965627</v>
      </c>
    </row>
    <row r="210" spans="1:12" x14ac:dyDescent="0.25">
      <c r="A210" s="8" t="s">
        <v>238</v>
      </c>
      <c r="C210" s="82"/>
      <c r="D210" s="82"/>
      <c r="F210" s="8"/>
      <c r="H210" s="72"/>
      <c r="I210" s="72"/>
      <c r="J210" s="72"/>
      <c r="K210" s="72"/>
      <c r="L210" s="72"/>
    </row>
    <row r="211" spans="1:12" x14ac:dyDescent="0.25">
      <c r="A211" s="8" t="s">
        <v>239</v>
      </c>
      <c r="C211" s="82">
        <v>40434</v>
      </c>
      <c r="D211" s="82">
        <v>27281</v>
      </c>
      <c r="E211" s="8">
        <v>29926</v>
      </c>
      <c r="F211" s="8">
        <v>27605</v>
      </c>
      <c r="G211" s="8">
        <v>23009</v>
      </c>
      <c r="H211" s="72">
        <f t="shared" ref="H211:L215" si="84">G211*(1+H$3)</f>
        <v>22110.503782970991</v>
      </c>
      <c r="I211" s="72">
        <f t="shared" si="84"/>
        <v>21247.09363887064</v>
      </c>
      <c r="J211" s="72">
        <f t="shared" si="84"/>
        <v>20417.399464530758</v>
      </c>
      <c r="K211" s="72">
        <f t="shared" si="84"/>
        <v>19620.10465900027</v>
      </c>
      <c r="L211" s="72">
        <f t="shared" si="84"/>
        <v>18853.944034295808</v>
      </c>
    </row>
    <row r="212" spans="1:12" x14ac:dyDescent="0.25">
      <c r="A212" s="8" t="s">
        <v>240</v>
      </c>
      <c r="C212" s="82">
        <v>-37738</v>
      </c>
      <c r="D212" s="82">
        <v>-25615</v>
      </c>
      <c r="E212" s="8">
        <v>-28871</v>
      </c>
      <c r="F212" s="8">
        <v>-30600</v>
      </c>
      <c r="G212" s="8">
        <v>-24850</v>
      </c>
      <c r="H212" s="72">
        <f t="shared" si="84"/>
        <v>-23879.613151672351</v>
      </c>
      <c r="I212" s="72">
        <f t="shared" si="84"/>
        <v>-22947.119689075378</v>
      </c>
      <c r="J212" s="72">
        <f t="shared" si="84"/>
        <v>-22051.039884114445</v>
      </c>
      <c r="K212" s="72">
        <f t="shared" si="84"/>
        <v>-21189.951791740477</v>
      </c>
      <c r="L212" s="72">
        <f t="shared" si="84"/>
        <v>-20362.488993535171</v>
      </c>
    </row>
    <row r="213" spans="1:12" x14ac:dyDescent="0.25">
      <c r="A213" s="8" t="s">
        <v>241</v>
      </c>
      <c r="C213" s="82">
        <v>1245</v>
      </c>
      <c r="D213" s="82">
        <v>1434</v>
      </c>
      <c r="E213" s="8">
        <v>1595</v>
      </c>
      <c r="F213" s="8">
        <v>1476</v>
      </c>
      <c r="G213" s="8">
        <v>1012</v>
      </c>
      <c r="H213" s="72">
        <f t="shared" si="84"/>
        <v>972.48163016066076</v>
      </c>
      <c r="I213" s="72">
        <f t="shared" si="84"/>
        <v>934.50644367582629</v>
      </c>
      <c r="J213" s="72">
        <f t="shared" si="84"/>
        <v>898.01417958647164</v>
      </c>
      <c r="K213" s="72">
        <f t="shared" si="84"/>
        <v>862.94693011031654</v>
      </c>
      <c r="L213" s="72">
        <f t="shared" si="84"/>
        <v>829.2490487508087</v>
      </c>
    </row>
    <row r="214" spans="1:12" x14ac:dyDescent="0.25">
      <c r="A214" s="8" t="s">
        <v>242</v>
      </c>
      <c r="C214" s="82">
        <v>-3564</v>
      </c>
      <c r="D214" s="82">
        <v>-3681</v>
      </c>
      <c r="E214" s="8">
        <v>-3682</v>
      </c>
      <c r="F214" s="8">
        <v>-1912</v>
      </c>
      <c r="G214" s="8">
        <v>-1103</v>
      </c>
      <c r="H214" s="72">
        <f t="shared" si="84"/>
        <v>-1059.9281008569258</v>
      </c>
      <c r="I214" s="72">
        <f t="shared" si="84"/>
        <v>-1018.5381495794826</v>
      </c>
      <c r="J214" s="72">
        <f t="shared" si="84"/>
        <v>-978.76446648604565</v>
      </c>
      <c r="K214" s="72">
        <f t="shared" si="84"/>
        <v>-940.54393667161969</v>
      </c>
      <c r="L214" s="72">
        <f t="shared" si="84"/>
        <v>-903.81590985389528</v>
      </c>
    </row>
    <row r="215" spans="1:12" x14ac:dyDescent="0.25">
      <c r="A215" s="8" t="s">
        <v>243</v>
      </c>
      <c r="C215" s="82">
        <v>-5741</v>
      </c>
      <c r="D215" s="82">
        <v>-6043</v>
      </c>
      <c r="E215" s="8">
        <v>-6320</v>
      </c>
      <c r="F215" s="8">
        <v>-6644</v>
      </c>
      <c r="G215" s="8">
        <v>-6845</v>
      </c>
      <c r="H215" s="72">
        <f t="shared" si="84"/>
        <v>-6577.7043067685008</v>
      </c>
      <c r="I215" s="72">
        <f t="shared" ref="I215" si="85">H215*(1+I$3)</f>
        <v>-6320.8464495662356</v>
      </c>
      <c r="J215" s="72">
        <f t="shared" ref="J215" si="86">I215*(1+J$3)</f>
        <v>-6074.0188332701555</v>
      </c>
      <c r="K215" s="72">
        <f t="shared" ref="K215" si="87">J215*(1+K$3)</f>
        <v>-5836.829779254067</v>
      </c>
      <c r="L215" s="72">
        <f t="shared" ref="L215" si="88">K215*(1+L$3)</f>
        <v>-5608.902903853048</v>
      </c>
    </row>
    <row r="216" spans="1:12" x14ac:dyDescent="0.25">
      <c r="A216" s="8" t="s">
        <v>244</v>
      </c>
      <c r="C216" s="82">
        <v>251</v>
      </c>
      <c r="D216" s="82">
        <v>79</v>
      </c>
      <c r="E216" s="8">
        <v>-95</v>
      </c>
      <c r="F216" s="8">
        <v>-272</v>
      </c>
      <c r="G216" s="8">
        <v>-227</v>
      </c>
      <c r="H216" s="72">
        <f t="shared" ref="H216:L222" si="89">G216*(1+H$3)</f>
        <v>-218.13570162694663</v>
      </c>
      <c r="I216" s="72">
        <f t="shared" si="89"/>
        <v>-209.61755208934048</v>
      </c>
      <c r="J216" s="72">
        <f t="shared" si="89"/>
        <v>-201.43203435388244</v>
      </c>
      <c r="K216" s="72">
        <f t="shared" si="89"/>
        <v>-193.56615922434963</v>
      </c>
      <c r="L216" s="72">
        <f t="shared" si="89"/>
        <v>-186.00744472967742</v>
      </c>
    </row>
    <row r="217" spans="1:12" x14ac:dyDescent="0.25">
      <c r="A217" s="8" t="s">
        <v>245</v>
      </c>
      <c r="C217" s="82">
        <v>-5113</v>
      </c>
      <c r="D217" s="82">
        <v>-6545</v>
      </c>
      <c r="E217" s="8">
        <v>-7447</v>
      </c>
      <c r="F217" s="8">
        <v>-10347</v>
      </c>
      <c r="G217" s="8">
        <v>-9004</v>
      </c>
      <c r="H217" s="72">
        <f t="shared" si="89"/>
        <v>-8652.3958477930719</v>
      </c>
      <c r="I217" s="72">
        <f t="shared" si="89"/>
        <v>-8314.5217577639705</v>
      </c>
      <c r="J217" s="72">
        <f t="shared" si="89"/>
        <v>-7989.8415741073013</v>
      </c>
      <c r="K217" s="72">
        <f t="shared" si="89"/>
        <v>-7677.8400777799288</v>
      </c>
      <c r="L217" s="72">
        <f t="shared" si="89"/>
        <v>-7378.0221689251775</v>
      </c>
    </row>
    <row r="218" spans="1:12" x14ac:dyDescent="0.25">
      <c r="A218" s="8" t="s">
        <v>246</v>
      </c>
      <c r="C218" s="82">
        <v>-878</v>
      </c>
      <c r="D218" s="82">
        <v>-6</v>
      </c>
      <c r="E218" s="8">
        <v>241</v>
      </c>
      <c r="F218" s="8">
        <v>-262</v>
      </c>
      <c r="G218" s="8">
        <v>-72</v>
      </c>
      <c r="H218" s="72">
        <f t="shared" si="89"/>
        <v>-69.188416375066765</v>
      </c>
      <c r="I218" s="72">
        <f t="shared" si="89"/>
        <v>-66.486624451244552</v>
      </c>
      <c r="J218" s="72">
        <f t="shared" si="89"/>
        <v>-63.890336887575046</v>
      </c>
      <c r="K218" s="72">
        <f t="shared" si="89"/>
        <v>-61.395433762789303</v>
      </c>
      <c r="L218" s="72">
        <f t="shared" si="89"/>
        <v>-58.997956037606926</v>
      </c>
    </row>
    <row r="219" spans="1:12" x14ac:dyDescent="0.25">
      <c r="A219" s="8" t="s">
        <v>247</v>
      </c>
      <c r="C219" s="82"/>
      <c r="D219" s="82"/>
      <c r="F219" s="8"/>
      <c r="H219" s="72"/>
      <c r="I219" s="72"/>
      <c r="J219" s="72"/>
      <c r="K219" s="72"/>
      <c r="L219" s="72"/>
    </row>
    <row r="220" spans="1:12" x14ac:dyDescent="0.25">
      <c r="A220" s="8" t="s">
        <v>248</v>
      </c>
      <c r="C220" s="82">
        <v>-1649</v>
      </c>
      <c r="D220" s="82">
        <v>1246</v>
      </c>
      <c r="E220" s="8">
        <v>-2477</v>
      </c>
      <c r="F220" s="8">
        <v>2945</v>
      </c>
      <c r="G220" s="8">
        <v>-2581</v>
      </c>
      <c r="H220" s="72">
        <f t="shared" si="89"/>
        <v>-2480.2125370006574</v>
      </c>
      <c r="I220" s="72">
        <f t="shared" si="89"/>
        <v>-2383.3608015091972</v>
      </c>
      <c r="J220" s="72">
        <f t="shared" si="89"/>
        <v>-2290.2911042615447</v>
      </c>
      <c r="K220" s="72">
        <f t="shared" si="89"/>
        <v>-2200.8557575244336</v>
      </c>
      <c r="L220" s="72">
        <f t="shared" si="89"/>
        <v>-2114.9128407369931</v>
      </c>
    </row>
    <row r="221" spans="1:12" x14ac:dyDescent="0.25">
      <c r="A221" s="8" t="s">
        <v>249</v>
      </c>
      <c r="C221" s="82">
        <v>8958</v>
      </c>
      <c r="D221" s="82">
        <v>7309</v>
      </c>
      <c r="E221" s="8">
        <v>8850</v>
      </c>
      <c r="F221" s="8">
        <v>6373</v>
      </c>
      <c r="G221" s="8">
        <v>9318</v>
      </c>
      <c r="H221" s="72">
        <f t="shared" si="89"/>
        <v>8954.1342192065586</v>
      </c>
      <c r="I221" s="72">
        <f t="shared" si="89"/>
        <v>8604.4773143985658</v>
      </c>
      <c r="J221" s="72">
        <f t="shared" si="89"/>
        <v>8268.4744322003371</v>
      </c>
      <c r="K221" s="72">
        <f t="shared" si="89"/>
        <v>7945.5923861343153</v>
      </c>
      <c r="L221" s="72">
        <f t="shared" si="89"/>
        <v>7635.3188105336294</v>
      </c>
    </row>
    <row r="222" spans="1:12" x14ac:dyDescent="0.25">
      <c r="A222" s="8" t="s">
        <v>250</v>
      </c>
      <c r="C222" s="82">
        <v>7309</v>
      </c>
      <c r="D222" s="82">
        <v>8555</v>
      </c>
      <c r="E222" s="8">
        <v>6373</v>
      </c>
      <c r="F222" s="8">
        <v>9318</v>
      </c>
      <c r="G222" s="8">
        <v>6737</v>
      </c>
      <c r="H222" s="72">
        <f t="shared" si="89"/>
        <v>6473.9216822059007</v>
      </c>
      <c r="I222" s="72">
        <f t="shared" ref="I222" si="90">H222*(1+I$3)</f>
        <v>6221.116512889369</v>
      </c>
      <c r="J222" s="72">
        <f t="shared" ref="J222" si="91">I222*(1+J$3)</f>
        <v>5978.1833279387929</v>
      </c>
      <c r="K222" s="72">
        <f t="shared" ref="K222" si="92">J222*(1+K$3)</f>
        <v>5744.7366286098822</v>
      </c>
      <c r="L222" s="72">
        <f t="shared" ref="L222" si="93">K222*(1+L$3)</f>
        <v>5520.4059697966368</v>
      </c>
    </row>
    <row r="223" spans="1:12" x14ac:dyDescent="0.25">
      <c r="H223" s="72"/>
      <c r="I223" s="72"/>
      <c r="J223" s="72"/>
      <c r="K223" s="72"/>
      <c r="L223" s="72"/>
    </row>
    <row r="224" spans="1:12" x14ac:dyDescent="0.25">
      <c r="H224" s="72"/>
      <c r="I224" s="72"/>
      <c r="J224" s="72"/>
      <c r="K224" s="72"/>
      <c r="L224" s="72"/>
    </row>
    <row r="225" spans="8:12" x14ac:dyDescent="0.25">
      <c r="H225" s="72"/>
      <c r="I225" s="72"/>
      <c r="J225" s="72"/>
      <c r="K225" s="72"/>
      <c r="L225" s="72"/>
    </row>
    <row r="226" spans="8:12" x14ac:dyDescent="0.25">
      <c r="H226" s="72"/>
      <c r="I226" s="72"/>
      <c r="J226" s="72"/>
      <c r="K226" s="72"/>
      <c r="L226" s="72"/>
    </row>
    <row r="227" spans="8:12" x14ac:dyDescent="0.25">
      <c r="H227" s="72"/>
      <c r="I227" s="72"/>
      <c r="J227" s="72"/>
      <c r="K227" s="72"/>
      <c r="L227" s="72"/>
    </row>
    <row r="228" spans="8:12" x14ac:dyDescent="0.25">
      <c r="H228" s="72"/>
      <c r="I228" s="72"/>
      <c r="J228" s="72"/>
      <c r="K228" s="72"/>
      <c r="L228" s="72"/>
    </row>
    <row r="229" spans="8:12" x14ac:dyDescent="0.25">
      <c r="H229" s="72"/>
      <c r="I229" s="72"/>
      <c r="J229" s="72"/>
      <c r="K229" s="72"/>
      <c r="L229" s="72"/>
    </row>
    <row r="230" spans="8:12" x14ac:dyDescent="0.25">
      <c r="H230" s="72"/>
      <c r="I230" s="72"/>
      <c r="J230" s="72"/>
      <c r="K230" s="72"/>
      <c r="L230" s="72"/>
    </row>
    <row r="231" spans="8:12" x14ac:dyDescent="0.25">
      <c r="H231" s="72"/>
      <c r="I231" s="72"/>
      <c r="J231" s="72"/>
      <c r="K231" s="72"/>
      <c r="L231" s="72"/>
    </row>
    <row r="232" spans="8:12" x14ac:dyDescent="0.25">
      <c r="H232" s="72"/>
      <c r="I232" s="72"/>
      <c r="J232" s="72"/>
      <c r="K232" s="72"/>
      <c r="L232" s="72"/>
    </row>
    <row r="233" spans="8:12" x14ac:dyDescent="0.25">
      <c r="H233" s="72"/>
      <c r="I233" s="72"/>
      <c r="J233" s="72"/>
      <c r="K233" s="72"/>
      <c r="L233" s="72"/>
    </row>
    <row r="234" spans="8:12" x14ac:dyDescent="0.25">
      <c r="H234" s="72"/>
      <c r="I234" s="72"/>
      <c r="J234" s="72"/>
      <c r="K234" s="72"/>
      <c r="L234" s="72"/>
    </row>
    <row r="235" spans="8:12" x14ac:dyDescent="0.25">
      <c r="H235" s="72"/>
      <c r="I235" s="72"/>
      <c r="J235" s="72"/>
      <c r="K235" s="72"/>
      <c r="L235" s="72"/>
    </row>
    <row r="236" spans="8:12" x14ac:dyDescent="0.25">
      <c r="H236" s="72"/>
      <c r="I236" s="72"/>
      <c r="J236" s="72"/>
      <c r="K236" s="72"/>
      <c r="L236" s="72"/>
    </row>
    <row r="237" spans="8:12" x14ac:dyDescent="0.25">
      <c r="H237" s="72"/>
      <c r="I237" s="72"/>
      <c r="J237" s="72"/>
      <c r="K237" s="72"/>
      <c r="L237" s="72"/>
    </row>
    <row r="238" spans="8:12" x14ac:dyDescent="0.25">
      <c r="H238" s="72"/>
      <c r="I238" s="72"/>
      <c r="J238" s="72"/>
      <c r="K238" s="72"/>
      <c r="L238" s="72"/>
    </row>
    <row r="239" spans="8:12" x14ac:dyDescent="0.25">
      <c r="H239" s="72"/>
      <c r="I239" s="72"/>
      <c r="J239" s="72"/>
      <c r="K239" s="72"/>
      <c r="L239" s="72"/>
    </row>
    <row r="244" spans="1:12" s="63" customFormat="1" x14ac:dyDescent="0.25">
      <c r="A244" s="63" t="s">
        <v>72</v>
      </c>
      <c r="C244" s="63">
        <f>C191</f>
        <v>1970</v>
      </c>
      <c r="D244" s="63">
        <f t="shared" ref="D244:G244" si="94">D191</f>
        <v>1787</v>
      </c>
      <c r="E244" s="63">
        <f t="shared" si="94"/>
        <v>1260</v>
      </c>
      <c r="F244" s="63">
        <f t="shared" si="94"/>
        <v>1086</v>
      </c>
      <c r="G244" s="63">
        <f t="shared" si="94"/>
        <v>1365</v>
      </c>
    </row>
    <row r="249" spans="1:12" x14ac:dyDescent="0.25">
      <c r="A249" s="2" t="s">
        <v>73</v>
      </c>
      <c r="C249" s="2"/>
      <c r="D249" s="2"/>
    </row>
    <row r="250" spans="1:12" x14ac:dyDescent="0.25">
      <c r="A250" s="8" t="s">
        <v>159</v>
      </c>
      <c r="C250" s="9">
        <f>C122/C$122</f>
        <v>1</v>
      </c>
      <c r="D250" s="9">
        <f>D122/D$122</f>
        <v>1</v>
      </c>
      <c r="E250" s="9">
        <f t="shared" ref="E250:L250" si="95">E122/E$122</f>
        <v>1</v>
      </c>
      <c r="F250" s="9">
        <f t="shared" si="95"/>
        <v>1</v>
      </c>
      <c r="G250" s="9">
        <f t="shared" si="95"/>
        <v>1</v>
      </c>
      <c r="H250" s="9">
        <f t="shared" si="95"/>
        <v>1</v>
      </c>
      <c r="I250" s="9">
        <f t="shared" si="95"/>
        <v>1</v>
      </c>
      <c r="J250" s="9">
        <f t="shared" si="95"/>
        <v>1</v>
      </c>
      <c r="K250" s="9">
        <f t="shared" si="95"/>
        <v>1</v>
      </c>
      <c r="L250" s="9">
        <f t="shared" si="95"/>
        <v>1</v>
      </c>
    </row>
    <row r="251" spans="1:12" x14ac:dyDescent="0.25">
      <c r="A251" s="8" t="s">
        <v>160</v>
      </c>
      <c r="B251" s="2"/>
      <c r="C251" s="9">
        <f t="shared" ref="C251:L262" si="96">C123/C$122</f>
        <v>0.39468099516864585</v>
      </c>
      <c r="D251" s="9">
        <f t="shared" si="96"/>
        <v>0.39330673864749299</v>
      </c>
      <c r="E251" s="9">
        <f t="shared" si="96"/>
        <v>0.37890754446039987</v>
      </c>
      <c r="F251" s="9">
        <f t="shared" si="96"/>
        <v>0.38096209912536444</v>
      </c>
      <c r="G251" s="9">
        <f t="shared" si="96"/>
        <v>0.39228787634841411</v>
      </c>
      <c r="H251" s="9">
        <f t="shared" si="96"/>
        <v>0.39228787634841406</v>
      </c>
      <c r="I251" s="9">
        <f t="shared" si="96"/>
        <v>0.39228787634841406</v>
      </c>
      <c r="J251" s="9">
        <f t="shared" si="96"/>
        <v>0.39228787634841411</v>
      </c>
      <c r="K251" s="9">
        <f t="shared" si="96"/>
        <v>0.39228787634841406</v>
      </c>
      <c r="L251" s="9">
        <f t="shared" si="96"/>
        <v>0.39228787634841406</v>
      </c>
    </row>
    <row r="252" spans="1:12" x14ac:dyDescent="0.25">
      <c r="A252" s="8" t="s">
        <v>161</v>
      </c>
      <c r="B252" s="3"/>
      <c r="C252" s="9">
        <f t="shared" si="96"/>
        <v>0.60531900483135415</v>
      </c>
      <c r="D252" s="9">
        <f t="shared" si="96"/>
        <v>0.60669326135250701</v>
      </c>
      <c r="E252" s="9">
        <f t="shared" si="96"/>
        <v>0.62109245553960013</v>
      </c>
      <c r="F252" s="9">
        <f t="shared" si="96"/>
        <v>0.61903790087463562</v>
      </c>
      <c r="G252" s="9">
        <f t="shared" si="96"/>
        <v>0.60771212365158589</v>
      </c>
      <c r="H252" s="9">
        <f t="shared" si="96"/>
        <v>0.60771212365158589</v>
      </c>
      <c r="I252" s="9">
        <f t="shared" si="96"/>
        <v>0.60771212365158578</v>
      </c>
      <c r="J252" s="9">
        <f t="shared" si="96"/>
        <v>0.60771212365158589</v>
      </c>
      <c r="K252" s="9">
        <f t="shared" si="96"/>
        <v>0.60771212365158589</v>
      </c>
      <c r="L252" s="9">
        <f t="shared" si="96"/>
        <v>0.60771212365158589</v>
      </c>
    </row>
    <row r="253" spans="1:12" x14ac:dyDescent="0.25">
      <c r="A253" s="8" t="s">
        <v>64</v>
      </c>
      <c r="B253" s="3"/>
      <c r="C253" s="9">
        <f t="shared" si="96"/>
        <v>0.37086287081771796</v>
      </c>
      <c r="D253" s="9">
        <f t="shared" si="96"/>
        <v>0.36457014547452404</v>
      </c>
      <c r="E253" s="9">
        <f t="shared" si="96"/>
        <v>0.35441290180050811</v>
      </c>
      <c r="F253" s="9">
        <f t="shared" si="96"/>
        <v>0.32075801749271138</v>
      </c>
      <c r="G253" s="9">
        <f t="shared" si="96"/>
        <v>0.32477325175763433</v>
      </c>
      <c r="H253" s="9">
        <f t="shared" si="96"/>
        <v>0.32477325175763427</v>
      </c>
      <c r="I253" s="9">
        <f t="shared" si="96"/>
        <v>0.32477325175763427</v>
      </c>
      <c r="J253" s="9">
        <f t="shared" si="96"/>
        <v>0.32477325175763427</v>
      </c>
      <c r="K253" s="9">
        <f t="shared" si="96"/>
        <v>0.32477325175763433</v>
      </c>
      <c r="L253" s="9">
        <f t="shared" si="96"/>
        <v>0.32477325175763433</v>
      </c>
    </row>
    <row r="254" spans="1:12" x14ac:dyDescent="0.25">
      <c r="A254" s="8" t="s">
        <v>162</v>
      </c>
      <c r="B254" s="3"/>
      <c r="C254" s="9">
        <f t="shared" si="96"/>
        <v>3.7409129904727501E-2</v>
      </c>
      <c r="D254" s="9">
        <f t="shared" si="96"/>
        <v>3.6070037981033372E-2</v>
      </c>
      <c r="E254" s="9">
        <f t="shared" si="96"/>
        <v>5.2524025185021542E-2</v>
      </c>
      <c r="F254" s="9">
        <f t="shared" si="96"/>
        <v>3.1457725947521865E-2</v>
      </c>
      <c r="G254" s="9">
        <f t="shared" si="96"/>
        <v>1.2290023077335909E-2</v>
      </c>
      <c r="H254" s="9">
        <f t="shared" si="96"/>
        <v>1.2290023077335907E-2</v>
      </c>
      <c r="I254" s="9">
        <f t="shared" si="96"/>
        <v>1.2290023077335909E-2</v>
      </c>
      <c r="J254" s="9">
        <f t="shared" si="96"/>
        <v>1.2290023077335909E-2</v>
      </c>
      <c r="K254" s="9">
        <f t="shared" si="96"/>
        <v>1.2290023077335909E-2</v>
      </c>
      <c r="L254" s="9">
        <f t="shared" si="96"/>
        <v>1.2290023077335909E-2</v>
      </c>
    </row>
    <row r="255" spans="1:12" x14ac:dyDescent="0.25">
      <c r="A255" s="8" t="s">
        <v>163</v>
      </c>
      <c r="B255" s="3"/>
      <c r="C255" s="9">
        <f t="shared" si="96"/>
        <v>0.19704700410890866</v>
      </c>
      <c r="D255" s="9">
        <f t="shared" si="96"/>
        <v>0.20605307789694957</v>
      </c>
      <c r="E255" s="9">
        <f t="shared" si="96"/>
        <v>0.21415552855407047</v>
      </c>
      <c r="F255" s="9">
        <f t="shared" si="96"/>
        <v>0.26682215743440235</v>
      </c>
      <c r="G255" s="9">
        <f t="shared" si="96"/>
        <v>0.27064884881661566</v>
      </c>
      <c r="H255" s="9">
        <f t="shared" si="96"/>
        <v>0.27064884881661566</v>
      </c>
      <c r="I255" s="9">
        <f t="shared" si="96"/>
        <v>0.27064884881661566</v>
      </c>
      <c r="J255" s="9">
        <f t="shared" si="96"/>
        <v>0.27064884881661566</v>
      </c>
      <c r="K255" s="9">
        <f t="shared" si="96"/>
        <v>0.27064884881661572</v>
      </c>
      <c r="L255" s="9">
        <f t="shared" si="96"/>
        <v>0.27064884881661572</v>
      </c>
    </row>
    <row r="256" spans="1:12" x14ac:dyDescent="0.25">
      <c r="A256" s="8" t="s">
        <v>164</v>
      </c>
      <c r="B256" s="11"/>
      <c r="C256" s="9">
        <f t="shared" si="96"/>
        <v>1.3839346186842462E-2</v>
      </c>
      <c r="D256" s="9">
        <f t="shared" si="96"/>
        <v>1.5335738002532068E-2</v>
      </c>
      <c r="E256" s="9">
        <f t="shared" si="96"/>
        <v>1.8750690378879928E-2</v>
      </c>
      <c r="F256" s="9">
        <f t="shared" si="96"/>
        <v>2.0087463556851311E-2</v>
      </c>
      <c r="G256" s="9">
        <f t="shared" si="96"/>
        <v>1.5107604787205495E-2</v>
      </c>
      <c r="H256" s="9">
        <f t="shared" si="96"/>
        <v>1.5107604787205494E-2</v>
      </c>
      <c r="I256" s="9">
        <f t="shared" si="96"/>
        <v>1.5107604787205494E-2</v>
      </c>
      <c r="J256" s="9">
        <f t="shared" si="96"/>
        <v>1.5107604787205494E-2</v>
      </c>
      <c r="K256" s="9">
        <f t="shared" si="96"/>
        <v>1.5107604787205494E-2</v>
      </c>
      <c r="L256" s="9">
        <f t="shared" si="96"/>
        <v>1.5107604787205494E-2</v>
      </c>
    </row>
    <row r="257" spans="1:12" x14ac:dyDescent="0.25">
      <c r="A257" s="8" t="s">
        <v>74</v>
      </c>
      <c r="C257" s="9">
        <f t="shared" si="96"/>
        <v>1.9325416534970878E-2</v>
      </c>
      <c r="D257" s="9">
        <f t="shared" si="96"/>
        <v>1.7509495258342691E-2</v>
      </c>
      <c r="E257" s="9">
        <f t="shared" si="96"/>
        <v>2.3555727383187893E-2</v>
      </c>
      <c r="F257" s="9">
        <f t="shared" si="96"/>
        <v>2.7696793002915453E-2</v>
      </c>
      <c r="G257" s="9">
        <f t="shared" si="96"/>
        <v>2.5385069500348842E-2</v>
      </c>
      <c r="H257" s="9">
        <f t="shared" si="96"/>
        <v>-2.4722293779852949E-2</v>
      </c>
      <c r="I257" s="9">
        <f t="shared" si="96"/>
        <v>-7.5776176675790272E-2</v>
      </c>
      <c r="J257" s="9">
        <f>J129/J$122</f>
        <v>-7.5776176675790272E-2</v>
      </c>
      <c r="K257" s="9">
        <f t="shared" si="96"/>
        <v>-7.5776176675790285E-2</v>
      </c>
      <c r="L257" s="9">
        <f t="shared" si="96"/>
        <v>-7.5776176675790285E-2</v>
      </c>
    </row>
    <row r="258" spans="1:12" x14ac:dyDescent="0.25">
      <c r="A258" s="8" t="s">
        <v>165</v>
      </c>
      <c r="C258" s="9">
        <f t="shared" si="96"/>
        <v>1.103986995981397E-2</v>
      </c>
      <c r="D258" s="9">
        <f t="shared" si="96"/>
        <v>1.9946014380240306E-2</v>
      </c>
      <c r="E258" s="9">
        <f t="shared" si="96"/>
        <v>2.9603446371368608E-2</v>
      </c>
      <c r="F258" s="9">
        <f t="shared" si="96"/>
        <v>2.9387755102040815E-2</v>
      </c>
      <c r="G258" s="9">
        <f t="shared" si="96"/>
        <v>2.8148982987173294E-2</v>
      </c>
      <c r="H258" s="9">
        <f t="shared" si="96"/>
        <v>2.8148982987173291E-2</v>
      </c>
      <c r="I258" s="9">
        <f t="shared" si="96"/>
        <v>2.8148982987173291E-2</v>
      </c>
      <c r="J258" s="9">
        <f t="shared" si="96"/>
        <v>2.8148982987173294E-2</v>
      </c>
      <c r="K258" s="9">
        <f t="shared" si="96"/>
        <v>2.8148982987173294E-2</v>
      </c>
      <c r="L258" s="9">
        <f t="shared" si="96"/>
        <v>2.8148982987173297E-2</v>
      </c>
    </row>
    <row r="259" spans="1:12" x14ac:dyDescent="0.25">
      <c r="A259" s="8" t="s">
        <v>166</v>
      </c>
      <c r="C259" s="9">
        <f t="shared" si="96"/>
        <v>1.4245721768185306E-2</v>
      </c>
      <c r="D259" s="9">
        <f t="shared" si="96"/>
        <v>-2.9477103886486875E-2</v>
      </c>
      <c r="E259" s="9">
        <f t="shared" si="96"/>
        <v>-4.8685518612614602E-2</v>
      </c>
      <c r="F259" s="9">
        <f t="shared" si="96"/>
        <v>-4.8804664723032069E-2</v>
      </c>
      <c r="G259" s="9">
        <f t="shared" si="96"/>
        <v>9.1235979176729459E-4</v>
      </c>
      <c r="H259" s="9">
        <f t="shared" si="96"/>
        <v>9.1235979176729448E-4</v>
      </c>
      <c r="I259" s="9">
        <f t="shared" si="96"/>
        <v>9.1235979176729448E-4</v>
      </c>
      <c r="J259" s="9">
        <f t="shared" si="96"/>
        <v>9.1235979176729448E-4</v>
      </c>
      <c r="K259" s="9">
        <f t="shared" si="96"/>
        <v>9.1235979176729459E-4</v>
      </c>
      <c r="L259" s="9">
        <f t="shared" si="96"/>
        <v>9.123597917672947E-4</v>
      </c>
    </row>
    <row r="260" spans="1:12" x14ac:dyDescent="0.25">
      <c r="A260" s="8" t="s">
        <v>167</v>
      </c>
      <c r="C260" s="9">
        <f t="shared" si="96"/>
        <v>0.21684652548877953</v>
      </c>
      <c r="D260" s="9">
        <f t="shared" si="96"/>
        <v>0.19434823113489239</v>
      </c>
      <c r="E260" s="9">
        <f t="shared" si="96"/>
        <v>0.19026841930851651</v>
      </c>
      <c r="F260" s="9">
        <f t="shared" si="96"/>
        <v>0.23979591836734693</v>
      </c>
      <c r="G260" s="9">
        <f t="shared" si="96"/>
        <v>0.28943272688241295</v>
      </c>
      <c r="H260" s="9">
        <f t="shared" si="96"/>
        <v>0.28943272688241289</v>
      </c>
      <c r="I260" s="9">
        <f t="shared" si="96"/>
        <v>0.28943272688241295</v>
      </c>
      <c r="J260" s="9">
        <f t="shared" si="96"/>
        <v>0.28943272688241295</v>
      </c>
      <c r="K260" s="9">
        <f t="shared" si="96"/>
        <v>0.28943272688241301</v>
      </c>
      <c r="L260" s="9">
        <f t="shared" si="96"/>
        <v>0.28943272688241301</v>
      </c>
    </row>
    <row r="261" spans="1:12" x14ac:dyDescent="0.25">
      <c r="A261" s="8" t="s">
        <v>168</v>
      </c>
      <c r="C261" s="9">
        <f t="shared" si="96"/>
        <v>5.0548607034812842E-2</v>
      </c>
      <c r="D261" s="9">
        <f t="shared" si="96"/>
        <v>3.7885483601270808E-2</v>
      </c>
      <c r="E261" s="9">
        <f t="shared" si="96"/>
        <v>0.15483817519054457</v>
      </c>
      <c r="F261" s="9">
        <f t="shared" si="96"/>
        <v>5.0991253644314866E-2</v>
      </c>
      <c r="G261" s="9">
        <f t="shared" si="96"/>
        <v>4.8328234852144047E-2</v>
      </c>
      <c r="H261" s="9">
        <f t="shared" si="96"/>
        <v>4.8328234852144041E-2</v>
      </c>
      <c r="I261" s="9">
        <f t="shared" si="96"/>
        <v>4.8328234852144047E-2</v>
      </c>
      <c r="J261" s="9">
        <f t="shared" si="96"/>
        <v>4.8328234852144047E-2</v>
      </c>
      <c r="K261" s="9">
        <f t="shared" si="96"/>
        <v>4.8328234852144047E-2</v>
      </c>
      <c r="L261" s="9">
        <f t="shared" si="96"/>
        <v>4.8328234852144054E-2</v>
      </c>
    </row>
    <row r="262" spans="1:12" x14ac:dyDescent="0.25">
      <c r="A262" s="8" t="s">
        <v>169</v>
      </c>
      <c r="C262" s="9">
        <f t="shared" si="96"/>
        <v>0.16629791845396669</v>
      </c>
      <c r="D262" s="9">
        <f>D134/D$122</f>
        <v>0.15646274753362158</v>
      </c>
      <c r="E262" s="9">
        <f t="shared" ref="E262:F262" si="97">E134/E$122</f>
        <v>3.5430244117971944E-2</v>
      </c>
      <c r="F262" s="9">
        <f t="shared" si="97"/>
        <v>0.18880466472303206</v>
      </c>
      <c r="G262" s="9">
        <f>G134/G$122</f>
        <v>0.24110449203026887</v>
      </c>
      <c r="H262" s="9">
        <f t="shared" ref="H262:L262" si="98">H134/H$122</f>
        <v>0.24110449203026887</v>
      </c>
      <c r="I262" s="9">
        <f t="shared" si="98"/>
        <v>0.24110449203026887</v>
      </c>
      <c r="J262" s="9">
        <f t="shared" si="98"/>
        <v>0.24110449203026887</v>
      </c>
      <c r="K262" s="9">
        <f t="shared" si="98"/>
        <v>0.24110449203026887</v>
      </c>
      <c r="L262" s="9">
        <f t="shared" si="98"/>
        <v>0.2411044920302689</v>
      </c>
    </row>
    <row r="265" spans="1:12" x14ac:dyDescent="0.25">
      <c r="A265" s="2" t="s">
        <v>75</v>
      </c>
      <c r="C265" s="2"/>
      <c r="D265" s="2"/>
    </row>
    <row r="266" spans="1:12" x14ac:dyDescent="0.25">
      <c r="A266" s="8" t="s">
        <v>67</v>
      </c>
    </row>
    <row r="267" spans="1:12" x14ac:dyDescent="0.25">
      <c r="A267" s="8" t="s">
        <v>68</v>
      </c>
      <c r="B267" s="2"/>
      <c r="C267" s="9">
        <f>C148/C$165</f>
        <v>8.1214720654251296E-2</v>
      </c>
      <c r="D267" s="9">
        <f t="shared" ref="D267:L267" si="99">D148/D$165</f>
        <v>9.8029105076200301E-2</v>
      </c>
      <c r="E267" s="9">
        <f t="shared" si="99"/>
        <v>6.8330754528078644E-2</v>
      </c>
      <c r="F267" s="9">
        <f t="shared" si="99"/>
        <v>0.10907758123437801</v>
      </c>
      <c r="G267" s="9">
        <f t="shared" si="99"/>
        <v>7.5016496683298406E-2</v>
      </c>
      <c r="H267" s="9">
        <f t="shared" si="99"/>
        <v>7.5016496683298406E-2</v>
      </c>
      <c r="I267" s="9">
        <f t="shared" si="99"/>
        <v>7.5016496683298406E-2</v>
      </c>
      <c r="J267" s="9">
        <f t="shared" si="99"/>
        <v>7.5016496683298406E-2</v>
      </c>
      <c r="K267" s="9">
        <f t="shared" si="99"/>
        <v>7.5016496683298392E-2</v>
      </c>
      <c r="L267" s="9">
        <f t="shared" si="99"/>
        <v>7.5016496683298392E-2</v>
      </c>
    </row>
    <row r="268" spans="1:12" x14ac:dyDescent="0.25">
      <c r="A268" s="8" t="s">
        <v>177</v>
      </c>
      <c r="C268" s="9">
        <f t="shared" ref="C268:L304" si="100">C149/C$165</f>
        <v>9.2470776478954617E-2</v>
      </c>
      <c r="D268" s="9">
        <f t="shared" si="100"/>
        <v>0.10994614415033803</v>
      </c>
      <c r="E268" s="9">
        <f t="shared" si="100"/>
        <v>0.10639847092017839</v>
      </c>
      <c r="F268" s="9">
        <f t="shared" si="100"/>
        <v>2.4334262641799654E-2</v>
      </c>
      <c r="G268" s="9">
        <f t="shared" si="100"/>
        <v>1.6982901332468946E-2</v>
      </c>
      <c r="H268" s="9">
        <f t="shared" si="100"/>
        <v>1.6982901332468946E-2</v>
      </c>
      <c r="I268" s="9">
        <f t="shared" si="100"/>
        <v>1.6982901332468946E-2</v>
      </c>
      <c r="J268" s="9">
        <f t="shared" si="100"/>
        <v>1.6982901332468946E-2</v>
      </c>
      <c r="K268" s="9">
        <f t="shared" si="100"/>
        <v>1.6982901332468943E-2</v>
      </c>
      <c r="L268" s="9">
        <f t="shared" si="100"/>
        <v>1.6982901332468943E-2</v>
      </c>
    </row>
    <row r="269" spans="1:12" x14ac:dyDescent="0.25">
      <c r="A269" s="8" t="s">
        <v>178</v>
      </c>
      <c r="C269" s="9">
        <f t="shared" si="100"/>
        <v>0.17368549713320591</v>
      </c>
      <c r="D269" s="9">
        <f t="shared" si="100"/>
        <v>0.20797524922653832</v>
      </c>
      <c r="E269" s="9">
        <f t="shared" si="100"/>
        <v>0.17472922544825703</v>
      </c>
      <c r="F269" s="9">
        <f t="shared" si="100"/>
        <v>0.13341184387617766</v>
      </c>
      <c r="G269" s="9">
        <f t="shared" si="100"/>
        <v>9.1999398015767356E-2</v>
      </c>
      <c r="H269" s="9">
        <f t="shared" si="100"/>
        <v>9.1999398015767356E-2</v>
      </c>
      <c r="I269" s="9">
        <f t="shared" si="100"/>
        <v>9.1999398015767342E-2</v>
      </c>
      <c r="J269" s="9">
        <f t="shared" si="100"/>
        <v>9.1999398015767356E-2</v>
      </c>
      <c r="K269" s="9">
        <f t="shared" si="100"/>
        <v>9.1999398015767342E-2</v>
      </c>
      <c r="L269" s="9">
        <f t="shared" si="100"/>
        <v>9.1999398015767328E-2</v>
      </c>
    </row>
    <row r="270" spans="1:12" x14ac:dyDescent="0.25">
      <c r="A270" s="8" t="s">
        <v>179</v>
      </c>
      <c r="C270" s="9">
        <f t="shared" si="100"/>
        <v>4.743544157518112E-2</v>
      </c>
      <c r="D270" s="9">
        <f t="shared" si="100"/>
        <v>4.641915893204996E-2</v>
      </c>
      <c r="E270" s="9">
        <f t="shared" si="100"/>
        <v>6.0491945025939749E-2</v>
      </c>
      <c r="F270" s="9">
        <f t="shared" si="100"/>
        <v>6.0240819073255146E-2</v>
      </c>
      <c r="G270" s="9">
        <f t="shared" si="100"/>
        <v>3.73693289033468E-2</v>
      </c>
      <c r="H270" s="9">
        <f t="shared" si="100"/>
        <v>3.73693289033468E-2</v>
      </c>
      <c r="I270" s="9">
        <f t="shared" si="100"/>
        <v>3.7369328903346793E-2</v>
      </c>
      <c r="J270" s="9">
        <f t="shared" si="100"/>
        <v>3.73693289033468E-2</v>
      </c>
      <c r="K270" s="9">
        <f t="shared" si="100"/>
        <v>3.7369328903346793E-2</v>
      </c>
      <c r="L270" s="9">
        <f t="shared" si="100"/>
        <v>3.7369328903346793E-2</v>
      </c>
    </row>
    <row r="271" spans="1:12" x14ac:dyDescent="0.25">
      <c r="A271" s="8" t="s">
        <v>216</v>
      </c>
      <c r="C271" s="9">
        <f t="shared" si="100"/>
        <v>4.3790835148228811E-2</v>
      </c>
      <c r="D271" s="9">
        <f t="shared" si="100"/>
        <v>4.4184714105649135E-2</v>
      </c>
      <c r="E271" s="9">
        <f t="shared" si="100"/>
        <v>4.1719759716028031E-2</v>
      </c>
      <c r="F271" s="9">
        <f t="shared" si="100"/>
        <v>4.4282349548163812E-2</v>
      </c>
      <c r="G271" s="9">
        <f t="shared" si="100"/>
        <v>4.5970757458237345E-2</v>
      </c>
      <c r="H271" s="9">
        <f t="shared" si="100"/>
        <v>4.5970757458237338E-2</v>
      </c>
      <c r="I271" s="9">
        <f t="shared" si="100"/>
        <v>4.5970757458237338E-2</v>
      </c>
      <c r="J271" s="9">
        <f t="shared" si="100"/>
        <v>4.5970757458237338E-2</v>
      </c>
      <c r="K271" s="9">
        <f t="shared" si="100"/>
        <v>4.5970757458237338E-2</v>
      </c>
      <c r="L271" s="9">
        <f t="shared" si="100"/>
        <v>4.5970757458237331E-2</v>
      </c>
    </row>
    <row r="272" spans="1:12" x14ac:dyDescent="0.25">
      <c r="A272" s="8" t="s">
        <v>69</v>
      </c>
      <c r="C272" s="9">
        <f t="shared" si="100"/>
        <v>3.2245877594559755E-2</v>
      </c>
      <c r="D272" s="9">
        <f t="shared" si="100"/>
        <v>3.0651999541652344E-2</v>
      </c>
      <c r="E272" s="9">
        <f t="shared" si="100"/>
        <v>3.020615272594885E-2</v>
      </c>
      <c r="F272" s="9">
        <f t="shared" si="100"/>
        <v>3.69039607767737E-2</v>
      </c>
      <c r="G272" s="9">
        <f t="shared" si="100"/>
        <v>3.9117398501985388E-2</v>
      </c>
      <c r="H272" s="9">
        <f t="shared" si="100"/>
        <v>3.9117398501985388E-2</v>
      </c>
      <c r="I272" s="9">
        <f t="shared" si="100"/>
        <v>3.9117398501985381E-2</v>
      </c>
      <c r="J272" s="9">
        <f t="shared" si="100"/>
        <v>3.9117398501985388E-2</v>
      </c>
      <c r="K272" s="9">
        <f t="shared" si="100"/>
        <v>3.9117398501985388E-2</v>
      </c>
      <c r="L272" s="9">
        <f t="shared" si="100"/>
        <v>3.9117398501985388E-2</v>
      </c>
    </row>
    <row r="273" spans="1:12" x14ac:dyDescent="0.25">
      <c r="A273" s="8" t="s">
        <v>180</v>
      </c>
      <c r="C273" s="9">
        <f t="shared" si="100"/>
        <v>3.0579136850526691E-2</v>
      </c>
      <c r="D273" s="9">
        <f t="shared" si="100"/>
        <v>2.8429013406668958E-2</v>
      </c>
      <c r="E273" s="9">
        <f t="shared" si="100"/>
        <v>2.2754164012014199E-2</v>
      </c>
      <c r="F273" s="9">
        <f t="shared" si="100"/>
        <v>2.4742837915785427E-2</v>
      </c>
      <c r="G273" s="9">
        <f t="shared" si="100"/>
        <v>2.183350505319457E-2</v>
      </c>
      <c r="H273" s="9">
        <f t="shared" si="100"/>
        <v>2.1833505053194566E-2</v>
      </c>
      <c r="I273" s="9">
        <f t="shared" si="100"/>
        <v>2.1833505053194566E-2</v>
      </c>
      <c r="J273" s="9">
        <f t="shared" si="100"/>
        <v>2.183350505319457E-2</v>
      </c>
      <c r="K273" s="9">
        <f t="shared" si="100"/>
        <v>2.1833505053194566E-2</v>
      </c>
      <c r="L273" s="9">
        <f t="shared" si="100"/>
        <v>2.1833505053194566E-2</v>
      </c>
    </row>
    <row r="274" spans="1:12" x14ac:dyDescent="0.25">
      <c r="A274" s="8" t="s">
        <v>181</v>
      </c>
      <c r="C274" s="9">
        <f t="shared" si="100"/>
        <v>4.3335259344859774E-2</v>
      </c>
      <c r="D274" s="9">
        <f t="shared" si="100"/>
        <v>3.2049959894580038E-2</v>
      </c>
      <c r="E274" s="9">
        <f t="shared" si="100"/>
        <v>2.4915809593155547E-3</v>
      </c>
      <c r="F274" s="9">
        <f t="shared" si="100"/>
        <v>0.29958181119015576</v>
      </c>
      <c r="G274" s="9">
        <f t="shared" si="100"/>
        <v>0.23629038793253146</v>
      </c>
      <c r="H274" s="9">
        <f t="shared" si="100"/>
        <v>0.23629038793253146</v>
      </c>
      <c r="I274" s="9">
        <f t="shared" si="100"/>
        <v>0.23629038793253143</v>
      </c>
      <c r="J274" s="9">
        <f t="shared" si="100"/>
        <v>0.23629038793253143</v>
      </c>
      <c r="K274" s="9">
        <f t="shared" si="100"/>
        <v>0.2362903879325314</v>
      </c>
      <c r="L274" s="9">
        <f t="shared" si="100"/>
        <v>0.2362903879325314</v>
      </c>
    </row>
    <row r="275" spans="1:12" x14ac:dyDescent="0.25">
      <c r="A275" s="8" t="s">
        <v>182</v>
      </c>
      <c r="C275" s="9">
        <f t="shared" si="100"/>
        <v>0.37107204764656204</v>
      </c>
      <c r="D275" s="9">
        <f t="shared" si="100"/>
        <v>0.38971009510713878</v>
      </c>
      <c r="E275" s="9">
        <f t="shared" si="100"/>
        <v>0.41577546190952946</v>
      </c>
      <c r="F275" s="9">
        <f t="shared" si="100"/>
        <v>0.23327244760622956</v>
      </c>
      <c r="G275" s="9">
        <f t="shared" si="100"/>
        <v>0.22024519280860375</v>
      </c>
      <c r="H275" s="9">
        <f t="shared" si="100"/>
        <v>0.22024519280860372</v>
      </c>
      <c r="I275" s="9">
        <f t="shared" si="100"/>
        <v>0.22024519280860372</v>
      </c>
      <c r="J275" s="9">
        <f t="shared" si="100"/>
        <v>0.22024519280860375</v>
      </c>
      <c r="K275" s="9">
        <f t="shared" si="100"/>
        <v>0.22024519280860375</v>
      </c>
      <c r="L275" s="9">
        <f t="shared" si="100"/>
        <v>0.22024519280860372</v>
      </c>
    </row>
    <row r="276" spans="1:12" x14ac:dyDescent="0.25">
      <c r="A276" s="8" t="s">
        <v>183</v>
      </c>
      <c r="C276" s="9">
        <f t="shared" si="100"/>
        <v>0.13687274989999557</v>
      </c>
      <c r="D276" s="9">
        <f t="shared" si="100"/>
        <v>0.18631832244757648</v>
      </c>
      <c r="E276" s="9">
        <f t="shared" si="100"/>
        <v>0.23728042231728405</v>
      </c>
      <c r="F276" s="9">
        <f t="shared" si="100"/>
        <v>1.0418669486637186E-2</v>
      </c>
      <c r="G276" s="9">
        <f t="shared" si="100"/>
        <v>9.8864333591877837E-3</v>
      </c>
      <c r="H276" s="9">
        <f t="shared" si="100"/>
        <v>9.8864333591877837E-3</v>
      </c>
      <c r="I276" s="9">
        <f t="shared" si="100"/>
        <v>9.8864333591877837E-3</v>
      </c>
      <c r="J276" s="9">
        <f t="shared" si="100"/>
        <v>9.8864333591877854E-3</v>
      </c>
      <c r="K276" s="9">
        <f t="shared" si="100"/>
        <v>9.8864333591877837E-3</v>
      </c>
      <c r="L276" s="9">
        <f t="shared" si="100"/>
        <v>9.8864333591877837E-3</v>
      </c>
    </row>
    <row r="277" spans="1:12" x14ac:dyDescent="0.25">
      <c r="A277" s="8" t="s">
        <v>184</v>
      </c>
      <c r="C277" s="9">
        <f t="shared" si="100"/>
        <v>3.8557269211964978E-2</v>
      </c>
      <c r="D277" s="9">
        <f t="shared" si="100"/>
        <v>1.1332645811848287E-2</v>
      </c>
      <c r="E277" s="9">
        <f t="shared" si="100"/>
        <v>1.2469281878583781E-2</v>
      </c>
      <c r="F277" s="9">
        <f t="shared" si="100"/>
        <v>4.9846183426264179E-2</v>
      </c>
      <c r="G277" s="9">
        <f t="shared" si="100"/>
        <v>7.0327965640592266E-2</v>
      </c>
      <c r="H277" s="9">
        <f t="shared" si="100"/>
        <v>7.0327965640592252E-2</v>
      </c>
      <c r="I277" s="9">
        <f t="shared" si="100"/>
        <v>7.0327965640592252E-2</v>
      </c>
      <c r="J277" s="9">
        <f t="shared" si="100"/>
        <v>7.0327965640592252E-2</v>
      </c>
      <c r="K277" s="9">
        <f t="shared" si="100"/>
        <v>7.0327965640592252E-2</v>
      </c>
      <c r="L277" s="9">
        <f t="shared" si="100"/>
        <v>7.0327965640592252E-2</v>
      </c>
    </row>
    <row r="278" spans="1:12" x14ac:dyDescent="0.25">
      <c r="A278" s="8" t="s">
        <v>185</v>
      </c>
      <c r="C278" s="9">
        <f t="shared" si="100"/>
        <v>4.5668696386506065E-2</v>
      </c>
      <c r="D278" s="9">
        <f t="shared" si="100"/>
        <v>4.8676521141285664E-2</v>
      </c>
      <c r="E278" s="9">
        <f t="shared" si="100"/>
        <v>5.1879493947392372E-2</v>
      </c>
      <c r="F278" s="9">
        <f t="shared" si="100"/>
        <v>3.2133243606998652E-2</v>
      </c>
      <c r="G278" s="9">
        <f t="shared" si="100"/>
        <v>2.7922807098783298E-2</v>
      </c>
      <c r="H278" s="9">
        <f t="shared" si="100"/>
        <v>2.7922807098783295E-2</v>
      </c>
      <c r="I278" s="9">
        <f t="shared" si="100"/>
        <v>2.7922807098783291E-2</v>
      </c>
      <c r="J278" s="9">
        <f t="shared" si="100"/>
        <v>2.7922807098783295E-2</v>
      </c>
      <c r="K278" s="9">
        <f t="shared" si="100"/>
        <v>2.7922807098783295E-2</v>
      </c>
      <c r="L278" s="9">
        <f t="shared" si="100"/>
        <v>2.7922807098783291E-2</v>
      </c>
    </row>
    <row r="279" spans="1:12" x14ac:dyDescent="0.25">
      <c r="A279" s="8" t="s">
        <v>186</v>
      </c>
      <c r="C279" s="9">
        <f t="shared" si="100"/>
        <v>0.13968398595493134</v>
      </c>
      <c r="D279" s="9">
        <f t="shared" si="100"/>
        <v>0.12186318322447577</v>
      </c>
      <c r="E279" s="9">
        <f t="shared" si="100"/>
        <v>9.3326203695276236E-2</v>
      </c>
      <c r="F279" s="9">
        <f t="shared" si="100"/>
        <v>0.1153383964622188</v>
      </c>
      <c r="G279" s="9">
        <f t="shared" si="100"/>
        <v>0.1254674060267883</v>
      </c>
      <c r="H279" s="9">
        <f t="shared" si="100"/>
        <v>0.1254674060267883</v>
      </c>
      <c r="I279" s="9">
        <f t="shared" si="100"/>
        <v>0.12546740602678827</v>
      </c>
      <c r="J279" s="9">
        <f t="shared" si="100"/>
        <v>0.12546740602678827</v>
      </c>
      <c r="K279" s="9">
        <f t="shared" si="100"/>
        <v>0.12546740602678827</v>
      </c>
      <c r="L279" s="9">
        <f t="shared" si="100"/>
        <v>0.12546740602678824</v>
      </c>
    </row>
    <row r="280" spans="1:12" x14ac:dyDescent="0.25">
      <c r="A280" s="8" t="s">
        <v>187</v>
      </c>
      <c r="C280" s="9">
        <f t="shared" si="100"/>
        <v>6.6547402106760301E-2</v>
      </c>
      <c r="D280" s="9">
        <f t="shared" si="100"/>
        <v>6.9863641572132457E-2</v>
      </c>
      <c r="E280" s="9">
        <f t="shared" si="100"/>
        <v>7.6556384818421766E-2</v>
      </c>
      <c r="F280" s="9">
        <f t="shared" si="100"/>
        <v>8.0297058258027298E-2</v>
      </c>
      <c r="G280" s="9">
        <f t="shared" si="100"/>
        <v>0.10726895960917332</v>
      </c>
      <c r="H280" s="9">
        <f t="shared" si="100"/>
        <v>0.10726895960917331</v>
      </c>
      <c r="I280" s="9">
        <f t="shared" si="100"/>
        <v>0.10726895960917329</v>
      </c>
      <c r="J280" s="9">
        <f t="shared" si="100"/>
        <v>0.10726895960917331</v>
      </c>
      <c r="K280" s="9">
        <f t="shared" si="100"/>
        <v>0.10726895960917331</v>
      </c>
      <c r="L280" s="9">
        <f t="shared" si="100"/>
        <v>0.10726895960917331</v>
      </c>
    </row>
    <row r="281" spans="1:12" x14ac:dyDescent="0.25">
      <c r="A281" s="8" t="s">
        <v>188</v>
      </c>
      <c r="C281" s="9">
        <f t="shared" si="100"/>
        <v>6.6669629761322721E-2</v>
      </c>
      <c r="D281" s="9">
        <f t="shared" si="100"/>
        <v>4.2122149650509914E-2</v>
      </c>
      <c r="E281" s="9">
        <f t="shared" si="100"/>
        <v>1.5700373168289798E-3</v>
      </c>
      <c r="F281" s="9">
        <f t="shared" si="100"/>
        <v>6.12862910978658E-4</v>
      </c>
      <c r="G281" s="9">
        <f t="shared" si="100"/>
        <v>1.2618515645801739E-3</v>
      </c>
      <c r="H281" s="9">
        <f t="shared" si="100"/>
        <v>1.2618515645801739E-3</v>
      </c>
      <c r="I281" s="9">
        <f t="shared" si="100"/>
        <v>1.2618515645801739E-3</v>
      </c>
      <c r="J281" s="9">
        <f t="shared" si="100"/>
        <v>1.2618515645801739E-3</v>
      </c>
      <c r="K281" s="9">
        <f t="shared" si="100"/>
        <v>1.2618515645801739E-3</v>
      </c>
      <c r="L281" s="9">
        <f t="shared" si="100"/>
        <v>1.2618515645801739E-3</v>
      </c>
    </row>
    <row r="282" spans="1:12" x14ac:dyDescent="0.25">
      <c r="A282" s="8" t="s">
        <v>189</v>
      </c>
      <c r="C282" s="9">
        <f t="shared" si="100"/>
        <v>0.12543890839592869</v>
      </c>
      <c r="D282" s="9">
        <f t="shared" si="100"/>
        <v>0.12179443107597113</v>
      </c>
      <c r="E282" s="9">
        <f t="shared" si="100"/>
        <v>0.10695594793847274</v>
      </c>
      <c r="F282" s="9">
        <f t="shared" si="100"/>
        <v>0.16954672178427224</v>
      </c>
      <c r="G282" s="9">
        <f t="shared" si="100"/>
        <v>0.19407045530845904</v>
      </c>
      <c r="H282" s="9">
        <f t="shared" si="100"/>
        <v>0.19407045530845901</v>
      </c>
      <c r="I282" s="9">
        <f t="shared" si="100"/>
        <v>0.19407045530845901</v>
      </c>
      <c r="J282" s="9">
        <f t="shared" si="100"/>
        <v>0.19407045530845901</v>
      </c>
      <c r="K282" s="9">
        <f t="shared" si="100"/>
        <v>0.19407045530845898</v>
      </c>
      <c r="L282" s="9">
        <f t="shared" si="100"/>
        <v>0.19407045530845898</v>
      </c>
    </row>
    <row r="283" spans="1:12" x14ac:dyDescent="0.25">
      <c r="A283" s="8" t="s">
        <v>190</v>
      </c>
      <c r="C283" s="9">
        <f>C164/C$165</f>
        <v>9.4893106360282673E-3</v>
      </c>
      <c r="D283" s="9">
        <f t="shared" si="100"/>
        <v>8.3190099690615329E-3</v>
      </c>
      <c r="E283" s="9">
        <f t="shared" si="100"/>
        <v>4.1867661782106127E-3</v>
      </c>
      <c r="F283" s="9">
        <f t="shared" si="100"/>
        <v>8.9526052682176501E-3</v>
      </c>
      <c r="G283" s="9">
        <f t="shared" ref="G283:L284" si="101">G164/G$165</f>
        <v>7.2585406513006332E-3</v>
      </c>
      <c r="H283" s="9">
        <f t="shared" si="101"/>
        <v>7.2585406513006332E-3</v>
      </c>
      <c r="I283" s="9">
        <f t="shared" si="101"/>
        <v>7.2585406513006323E-3</v>
      </c>
      <c r="J283" s="9">
        <f t="shared" si="101"/>
        <v>7.2585406513006332E-3</v>
      </c>
      <c r="K283" s="9">
        <f t="shared" si="101"/>
        <v>7.2585406513006323E-3</v>
      </c>
      <c r="L283" s="9">
        <f t="shared" si="101"/>
        <v>7.2585406513006323E-3</v>
      </c>
    </row>
    <row r="284" spans="1:12" x14ac:dyDescent="0.25">
      <c r="A284" s="8" t="s">
        <v>191</v>
      </c>
      <c r="C284" s="9">
        <f t="shared" si="100"/>
        <v>1</v>
      </c>
      <c r="D284" s="9">
        <f t="shared" si="100"/>
        <v>1</v>
      </c>
      <c r="E284" s="9">
        <f t="shared" si="100"/>
        <v>1</v>
      </c>
      <c r="F284" s="9">
        <f t="shared" si="100"/>
        <v>1</v>
      </c>
      <c r="G284" s="9">
        <f t="shared" ref="G284:L303" si="102">G165/G$165</f>
        <v>1</v>
      </c>
      <c r="H284" s="9">
        <f t="shared" si="101"/>
        <v>1</v>
      </c>
      <c r="I284" s="9">
        <f t="shared" si="102"/>
        <v>1</v>
      </c>
      <c r="J284" s="9">
        <f t="shared" si="102"/>
        <v>1</v>
      </c>
      <c r="K284" s="9">
        <f t="shared" si="102"/>
        <v>1</v>
      </c>
      <c r="L284" s="9">
        <f t="shared" si="102"/>
        <v>1</v>
      </c>
    </row>
    <row r="285" spans="1:12" x14ac:dyDescent="0.25">
      <c r="A285" s="8" t="s">
        <v>192</v>
      </c>
      <c r="C285" s="9">
        <f t="shared" si="100"/>
        <v>0</v>
      </c>
      <c r="D285" s="9">
        <f t="shared" si="100"/>
        <v>0</v>
      </c>
      <c r="E285" s="9">
        <f t="shared" si="100"/>
        <v>0</v>
      </c>
      <c r="F285" s="9">
        <f t="shared" si="100"/>
        <v>0</v>
      </c>
      <c r="G285" s="9">
        <f t="shared" si="102"/>
        <v>0</v>
      </c>
      <c r="H285" s="9">
        <f t="shared" si="102"/>
        <v>0</v>
      </c>
      <c r="I285" s="9">
        <f t="shared" si="102"/>
        <v>0</v>
      </c>
      <c r="J285" s="9">
        <f t="shared" si="102"/>
        <v>0</v>
      </c>
      <c r="K285" s="9">
        <f t="shared" si="102"/>
        <v>0</v>
      </c>
      <c r="L285" s="9">
        <f t="shared" si="102"/>
        <v>0</v>
      </c>
    </row>
    <row r="286" spans="1:12" x14ac:dyDescent="0.25">
      <c r="A286" s="8" t="s">
        <v>193</v>
      </c>
      <c r="C286" s="9">
        <f t="shared" si="100"/>
        <v>0.10733810391572959</v>
      </c>
      <c r="D286" s="9">
        <f t="shared" si="100"/>
        <v>0.10874298155150681</v>
      </c>
      <c r="E286" s="9">
        <f t="shared" si="100"/>
        <v>9.9526713388550112E-2</v>
      </c>
      <c r="F286" s="9">
        <f t="shared" si="100"/>
        <v>0.1145572966737166</v>
      </c>
      <c r="G286" s="9">
        <f t="shared" si="102"/>
        <v>0.13095472383973328</v>
      </c>
      <c r="H286" s="9">
        <f t="shared" si="102"/>
        <v>0.13095472383973328</v>
      </c>
      <c r="I286" s="9">
        <f t="shared" si="102"/>
        <v>0.13095472383973325</v>
      </c>
      <c r="J286" s="9">
        <f t="shared" si="102"/>
        <v>0.13095472383973328</v>
      </c>
      <c r="K286" s="9">
        <f t="shared" si="102"/>
        <v>0.13095472383973325</v>
      </c>
      <c r="L286" s="9">
        <f t="shared" si="102"/>
        <v>0.13095472383973325</v>
      </c>
    </row>
    <row r="287" spans="1:12" x14ac:dyDescent="0.25">
      <c r="A287" s="8" t="s">
        <v>194</v>
      </c>
      <c r="C287" s="9">
        <f t="shared" si="100"/>
        <v>0.14588426152273434</v>
      </c>
      <c r="D287" s="9">
        <f t="shared" si="100"/>
        <v>0.14321072533516671</v>
      </c>
      <c r="E287" s="9">
        <f t="shared" si="100"/>
        <v>0.15023436788932373</v>
      </c>
      <c r="F287" s="9">
        <f t="shared" si="100"/>
        <v>0.16625408575273987</v>
      </c>
      <c r="G287" s="9">
        <f t="shared" si="102"/>
        <v>0.12727335872471957</v>
      </c>
      <c r="H287" s="9">
        <f t="shared" si="102"/>
        <v>0.12727335872471957</v>
      </c>
      <c r="I287" s="9">
        <f t="shared" si="102"/>
        <v>0.12727335872471954</v>
      </c>
      <c r="J287" s="9">
        <f t="shared" si="102"/>
        <v>0.12727335872471954</v>
      </c>
      <c r="K287" s="9">
        <f t="shared" si="102"/>
        <v>0.12727335872471954</v>
      </c>
      <c r="L287" s="9">
        <f t="shared" si="102"/>
        <v>0.12727335872471954</v>
      </c>
    </row>
    <row r="288" spans="1:12" x14ac:dyDescent="0.25">
      <c r="A288" s="8" t="s">
        <v>195</v>
      </c>
      <c r="C288" s="9">
        <f t="shared" si="100"/>
        <v>2.9734654873549936E-2</v>
      </c>
      <c r="D288" s="9">
        <f t="shared" si="100"/>
        <v>4.0414804629311331E-2</v>
      </c>
      <c r="E288" s="9">
        <f t="shared" si="100"/>
        <v>3.752161645581141E-2</v>
      </c>
      <c r="F288" s="9">
        <f t="shared" si="100"/>
        <v>6.0120649875024031E-2</v>
      </c>
      <c r="G288" s="9">
        <f t="shared" si="102"/>
        <v>4.923536425834385E-2</v>
      </c>
      <c r="H288" s="9">
        <f t="shared" si="102"/>
        <v>4.923536425834385E-2</v>
      </c>
      <c r="I288" s="9">
        <f t="shared" si="102"/>
        <v>4.9235364258343843E-2</v>
      </c>
      <c r="J288" s="9">
        <f t="shared" si="102"/>
        <v>4.923536425834385E-2</v>
      </c>
      <c r="K288" s="9">
        <f t="shared" si="102"/>
        <v>4.9235364258343843E-2</v>
      </c>
      <c r="L288" s="9">
        <f t="shared" si="102"/>
        <v>4.9235364258343843E-2</v>
      </c>
    </row>
    <row r="289" spans="1:12" x14ac:dyDescent="0.25">
      <c r="A289" s="8" t="s">
        <v>196</v>
      </c>
      <c r="C289" s="9">
        <f t="shared" si="100"/>
        <v>3.6779412418329704E-3</v>
      </c>
      <c r="D289" s="9">
        <f t="shared" si="100"/>
        <v>3.5178182651541194E-3</v>
      </c>
      <c r="E289" s="9">
        <f t="shared" si="100"/>
        <v>4.6646036224629109E-3</v>
      </c>
      <c r="F289" s="9">
        <f t="shared" si="100"/>
        <v>4.9389540472985962E-3</v>
      </c>
      <c r="G289" s="9">
        <f t="shared" si="102"/>
        <v>4.792720621432954E-3</v>
      </c>
      <c r="H289" s="9">
        <f t="shared" si="102"/>
        <v>4.7927206214329532E-3</v>
      </c>
      <c r="I289" s="9">
        <f t="shared" si="102"/>
        <v>4.7927206214329532E-3</v>
      </c>
      <c r="J289" s="9">
        <f t="shared" si="102"/>
        <v>4.792720621432954E-3</v>
      </c>
      <c r="K289" s="9">
        <f t="shared" si="102"/>
        <v>4.792720621432954E-3</v>
      </c>
      <c r="L289" s="9">
        <f t="shared" si="102"/>
        <v>4.7927206214329532E-3</v>
      </c>
    </row>
    <row r="290" spans="1:12" x14ac:dyDescent="0.25">
      <c r="A290" s="8" t="s">
        <v>197</v>
      </c>
      <c r="C290" s="9">
        <f t="shared" si="100"/>
        <v>1.2589448419929775E-2</v>
      </c>
      <c r="D290" s="9">
        <f t="shared" si="100"/>
        <v>8.135670906382491E-3</v>
      </c>
      <c r="E290" s="9">
        <f t="shared" si="100"/>
        <v>4.2095203422226266E-4</v>
      </c>
      <c r="F290" s="9">
        <f t="shared" si="100"/>
        <v>0</v>
      </c>
      <c r="G290" s="9">
        <f t="shared" si="102"/>
        <v>0</v>
      </c>
      <c r="H290" s="9">
        <f t="shared" si="102"/>
        <v>0</v>
      </c>
      <c r="I290" s="9">
        <f t="shared" si="102"/>
        <v>0</v>
      </c>
      <c r="J290" s="9">
        <f t="shared" si="102"/>
        <v>0</v>
      </c>
      <c r="K290" s="9">
        <f t="shared" si="102"/>
        <v>0</v>
      </c>
      <c r="L290" s="9">
        <f t="shared" si="102"/>
        <v>0</v>
      </c>
    </row>
    <row r="291" spans="1:12" x14ac:dyDescent="0.25">
      <c r="A291" s="8" t="s">
        <v>198</v>
      </c>
      <c r="C291" s="9">
        <f t="shared" si="100"/>
        <v>0.29922440997377664</v>
      </c>
      <c r="D291" s="9">
        <f t="shared" si="100"/>
        <v>0.3040220006875215</v>
      </c>
      <c r="E291" s="9">
        <f t="shared" si="100"/>
        <v>0.30938836807135706</v>
      </c>
      <c r="F291" s="9">
        <f t="shared" si="100"/>
        <v>0.34587098634877911</v>
      </c>
      <c r="G291" s="9">
        <f t="shared" si="102"/>
        <v>0.31225616744422963</v>
      </c>
      <c r="H291" s="9">
        <f t="shared" si="102"/>
        <v>0.31225616744422963</v>
      </c>
      <c r="I291" s="9">
        <f t="shared" si="102"/>
        <v>0.31225616744422963</v>
      </c>
      <c r="J291" s="9">
        <f t="shared" si="102"/>
        <v>0.31225616744422963</v>
      </c>
      <c r="K291" s="9">
        <f t="shared" si="102"/>
        <v>0.31225616744422957</v>
      </c>
      <c r="L291" s="9">
        <f t="shared" si="102"/>
        <v>0.31225616744422957</v>
      </c>
    </row>
    <row r="292" spans="1:12" x14ac:dyDescent="0.25">
      <c r="A292" s="8" t="s">
        <v>199</v>
      </c>
      <c r="C292" s="9">
        <f t="shared" si="100"/>
        <v>0.31458064802880126</v>
      </c>
      <c r="D292" s="9">
        <f t="shared" si="100"/>
        <v>0.34013979603529276</v>
      </c>
      <c r="E292" s="9">
        <f t="shared" si="100"/>
        <v>0.35476017111131336</v>
      </c>
      <c r="F292" s="9">
        <f t="shared" si="100"/>
        <v>0.30494135743126322</v>
      </c>
      <c r="G292" s="9">
        <f t="shared" si="102"/>
        <v>0.31854227202741342</v>
      </c>
      <c r="H292" s="9">
        <f t="shared" si="102"/>
        <v>0.31854227202741342</v>
      </c>
      <c r="I292" s="9">
        <f t="shared" si="102"/>
        <v>0.31854227202741342</v>
      </c>
      <c r="J292" s="9">
        <f t="shared" si="102"/>
        <v>0.31854227202741342</v>
      </c>
      <c r="K292" s="9">
        <f t="shared" si="102"/>
        <v>0.31854227202741336</v>
      </c>
      <c r="L292" s="9">
        <f t="shared" si="102"/>
        <v>0.31854227202741336</v>
      </c>
    </row>
    <row r="293" spans="1:12" x14ac:dyDescent="0.25">
      <c r="A293" s="8" t="s">
        <v>200</v>
      </c>
      <c r="C293" s="9">
        <f t="shared" si="100"/>
        <v>4.7791012933908174E-2</v>
      </c>
      <c r="D293" s="9">
        <f t="shared" si="100"/>
        <v>4.6762919674573161E-2</v>
      </c>
      <c r="E293" s="9">
        <f t="shared" si="100"/>
        <v>9.1255574770182937E-2</v>
      </c>
      <c r="F293" s="9">
        <f t="shared" si="100"/>
        <v>9.1881368967506247E-2</v>
      </c>
      <c r="G293" s="9">
        <f t="shared" si="102"/>
        <v>9.8517034996121827E-2</v>
      </c>
      <c r="H293" s="9">
        <f t="shared" si="102"/>
        <v>9.8517034996121827E-2</v>
      </c>
      <c r="I293" s="9">
        <f t="shared" si="102"/>
        <v>9.8517034996121813E-2</v>
      </c>
      <c r="J293" s="9">
        <f t="shared" si="102"/>
        <v>9.8517034996121827E-2</v>
      </c>
      <c r="K293" s="9">
        <f t="shared" si="102"/>
        <v>9.8517034996121813E-2</v>
      </c>
      <c r="L293" s="9">
        <f t="shared" si="102"/>
        <v>9.8517034996121813E-2</v>
      </c>
    </row>
    <row r="294" spans="1:12" x14ac:dyDescent="0.25">
      <c r="A294" s="8" t="s">
        <v>201</v>
      </c>
      <c r="C294" s="9">
        <f t="shared" si="100"/>
        <v>5.2124538868394153E-2</v>
      </c>
      <c r="D294" s="9">
        <f t="shared" si="100"/>
        <v>4.30044688896528E-2</v>
      </c>
      <c r="E294" s="9">
        <f t="shared" si="100"/>
        <v>2.8693000819149904E-2</v>
      </c>
      <c r="F294" s="9">
        <f t="shared" si="100"/>
        <v>2.8287829263603154E-2</v>
      </c>
      <c r="G294" s="9">
        <f t="shared" si="102"/>
        <v>2.6440999756890984E-2</v>
      </c>
      <c r="H294" s="9">
        <f t="shared" si="102"/>
        <v>2.644099975689098E-2</v>
      </c>
      <c r="I294" s="9">
        <f t="shared" si="102"/>
        <v>2.644099975689098E-2</v>
      </c>
      <c r="J294" s="9">
        <f t="shared" si="102"/>
        <v>2.6440999756890984E-2</v>
      </c>
      <c r="K294" s="9">
        <f t="shared" si="102"/>
        <v>2.6440999756890984E-2</v>
      </c>
      <c r="L294" s="9">
        <f t="shared" si="102"/>
        <v>2.644099975689098E-2</v>
      </c>
    </row>
    <row r="295" spans="1:12" x14ac:dyDescent="0.25">
      <c r="A295" s="8" t="s">
        <v>202</v>
      </c>
      <c r="C295" s="9">
        <f t="shared" si="100"/>
        <v>0</v>
      </c>
      <c r="D295" s="9">
        <f t="shared" si="100"/>
        <v>0</v>
      </c>
      <c r="E295" s="9">
        <f t="shared" si="100"/>
        <v>0</v>
      </c>
      <c r="F295" s="9">
        <f t="shared" si="100"/>
        <v>0</v>
      </c>
      <c r="G295" s="9">
        <f t="shared" si="102"/>
        <v>0</v>
      </c>
      <c r="H295" s="9">
        <f t="shared" si="102"/>
        <v>0</v>
      </c>
      <c r="I295" s="9">
        <f t="shared" si="102"/>
        <v>0</v>
      </c>
      <c r="J295" s="9">
        <f t="shared" si="102"/>
        <v>0</v>
      </c>
      <c r="K295" s="9">
        <f t="shared" si="102"/>
        <v>0</v>
      </c>
      <c r="L295" s="9">
        <f t="shared" si="102"/>
        <v>0</v>
      </c>
    </row>
    <row r="296" spans="1:12" x14ac:dyDescent="0.25">
      <c r="A296" s="8" t="s">
        <v>203</v>
      </c>
      <c r="C296" s="9">
        <f t="shared" si="100"/>
        <v>1.9556424729988E-2</v>
      </c>
      <c r="D296" s="9">
        <f t="shared" si="100"/>
        <v>2.0167296894694625E-2</v>
      </c>
      <c r="E296" s="9">
        <f t="shared" si="100"/>
        <v>2.0023664330572493E-2</v>
      </c>
      <c r="F296" s="9">
        <f t="shared" si="100"/>
        <v>2.1149778888675256E-2</v>
      </c>
      <c r="G296" s="9">
        <f t="shared" si="102"/>
        <v>2.0374850951019322E-2</v>
      </c>
      <c r="H296" s="9">
        <f t="shared" si="102"/>
        <v>2.0374850951019322E-2</v>
      </c>
      <c r="I296" s="9">
        <f t="shared" si="102"/>
        <v>2.0374850951019319E-2</v>
      </c>
      <c r="J296" s="9">
        <f t="shared" si="102"/>
        <v>2.0374850951019322E-2</v>
      </c>
      <c r="K296" s="9">
        <f t="shared" si="102"/>
        <v>2.0374850951019319E-2</v>
      </c>
      <c r="L296" s="9">
        <f t="shared" si="102"/>
        <v>2.0374850951019319E-2</v>
      </c>
    </row>
    <row r="297" spans="1:12" x14ac:dyDescent="0.25">
      <c r="A297" s="8" t="s">
        <v>204</v>
      </c>
      <c r="C297" s="9">
        <f t="shared" si="100"/>
        <v>0.15574025512244988</v>
      </c>
      <c r="D297" s="9">
        <f t="shared" si="100"/>
        <v>0.17180016042167984</v>
      </c>
      <c r="E297" s="9">
        <f t="shared" si="100"/>
        <v>0.18048602894329663</v>
      </c>
      <c r="F297" s="9">
        <f t="shared" si="100"/>
        <v>0.19851951547779273</v>
      </c>
      <c r="G297" s="9">
        <f t="shared" si="102"/>
        <v>0.19858533705328718</v>
      </c>
      <c r="H297" s="9">
        <f t="shared" si="102"/>
        <v>0.19858533705328718</v>
      </c>
      <c r="I297" s="9">
        <f t="shared" si="102"/>
        <v>0.19858533705328718</v>
      </c>
      <c r="J297" s="9">
        <f t="shared" si="102"/>
        <v>0.19858533705328718</v>
      </c>
      <c r="K297" s="9">
        <f t="shared" si="102"/>
        <v>0.19858533705328718</v>
      </c>
      <c r="L297" s="9">
        <f t="shared" si="102"/>
        <v>0.19858533705328715</v>
      </c>
    </row>
    <row r="298" spans="1:12" x14ac:dyDescent="0.25">
      <c r="A298" s="8" t="s">
        <v>205</v>
      </c>
      <c r="C298" s="9">
        <f t="shared" si="100"/>
        <v>0.72245433130361347</v>
      </c>
      <c r="D298" s="9">
        <f t="shared" si="100"/>
        <v>0.75056720522516329</v>
      </c>
      <c r="E298" s="9">
        <f t="shared" si="100"/>
        <v>0.68751706562300896</v>
      </c>
      <c r="F298" s="9">
        <f t="shared" si="100"/>
        <v>0.75987790809459721</v>
      </c>
      <c r="G298" s="9">
        <f t="shared" si="102"/>
        <v>0.76237830078373714</v>
      </c>
      <c r="H298" s="9">
        <f t="shared" si="102"/>
        <v>0.76237830078373714</v>
      </c>
      <c r="I298" s="9">
        <f t="shared" si="102"/>
        <v>0.76237830078373703</v>
      </c>
      <c r="J298" s="9">
        <f t="shared" si="102"/>
        <v>0.76237830078373714</v>
      </c>
      <c r="K298" s="9">
        <f t="shared" si="102"/>
        <v>0.76237830078373714</v>
      </c>
      <c r="L298" s="9">
        <f t="shared" si="102"/>
        <v>0.76237830078373703</v>
      </c>
    </row>
    <row r="299" spans="1:12" x14ac:dyDescent="0.25">
      <c r="A299" s="8" t="s">
        <v>206</v>
      </c>
      <c r="C299" s="9">
        <f t="shared" si="100"/>
        <v>-0.1130494688652829</v>
      </c>
      <c r="D299" s="9">
        <f t="shared" si="100"/>
        <v>-0.12839463733241663</v>
      </c>
      <c r="E299" s="9">
        <f t="shared" si="100"/>
        <v>-0.11724083007190315</v>
      </c>
      <c r="F299" s="9">
        <f t="shared" si="100"/>
        <v>-0.1539848106133436</v>
      </c>
      <c r="G299" s="9">
        <f t="shared" si="102"/>
        <v>-0.1567937393639805</v>
      </c>
      <c r="H299" s="9">
        <f t="shared" si="102"/>
        <v>-0.1567937393639805</v>
      </c>
      <c r="I299" s="9">
        <f t="shared" si="102"/>
        <v>-0.1567937393639805</v>
      </c>
      <c r="J299" s="9">
        <f t="shared" si="102"/>
        <v>-0.15679373936398053</v>
      </c>
      <c r="K299" s="9">
        <f t="shared" si="102"/>
        <v>-0.15679373936398053</v>
      </c>
      <c r="L299" s="9">
        <f t="shared" si="102"/>
        <v>-0.1567937393639805</v>
      </c>
    </row>
    <row r="300" spans="1:12" x14ac:dyDescent="0.25">
      <c r="A300" s="8" t="s">
        <v>217</v>
      </c>
      <c r="C300" s="9">
        <f t="shared" si="100"/>
        <v>-0.50075558913729501</v>
      </c>
      <c r="D300" s="9">
        <f t="shared" si="100"/>
        <v>-0.54987968374011686</v>
      </c>
      <c r="E300" s="9">
        <f t="shared" si="100"/>
        <v>-0.57655638481842175</v>
      </c>
      <c r="F300" s="9">
        <f t="shared" si="100"/>
        <v>-0.62150307633147472</v>
      </c>
      <c r="G300" s="9">
        <f t="shared" si="102"/>
        <v>-0.6048089278892349</v>
      </c>
      <c r="H300" s="9">
        <f t="shared" si="102"/>
        <v>-0.6048089278892349</v>
      </c>
      <c r="I300" s="9">
        <f t="shared" si="102"/>
        <v>-0.6048089278892349</v>
      </c>
      <c r="J300" s="9">
        <f t="shared" si="102"/>
        <v>-0.60480892788923502</v>
      </c>
      <c r="K300" s="9">
        <f t="shared" si="102"/>
        <v>-0.6048089278892349</v>
      </c>
      <c r="L300" s="9">
        <f t="shared" si="102"/>
        <v>-0.6048089278892349</v>
      </c>
    </row>
    <row r="301" spans="1:12" x14ac:dyDescent="0.25">
      <c r="A301" s="8" t="s">
        <v>207</v>
      </c>
      <c r="C301" s="9">
        <f t="shared" si="100"/>
        <v>0.28394595315347348</v>
      </c>
      <c r="D301" s="9">
        <f t="shared" si="100"/>
        <v>0.26426034146900423</v>
      </c>
      <c r="E301" s="9">
        <f t="shared" si="100"/>
        <v>0.19422954400655321</v>
      </c>
      <c r="F301" s="9">
        <f t="shared" si="100"/>
        <v>0.20405931551624687</v>
      </c>
      <c r="G301" s="9">
        <f t="shared" si="102"/>
        <v>0.21973582153482826</v>
      </c>
      <c r="H301" s="9">
        <f t="shared" si="102"/>
        <v>0.21973582153482826</v>
      </c>
      <c r="I301" s="9">
        <f t="shared" si="102"/>
        <v>0.21973582153482826</v>
      </c>
      <c r="J301" s="9">
        <f t="shared" si="102"/>
        <v>0.21973582153482829</v>
      </c>
      <c r="K301" s="9">
        <f t="shared" si="102"/>
        <v>0.21973582153482829</v>
      </c>
      <c r="L301" s="9">
        <f t="shared" si="102"/>
        <v>0.21973582153482826</v>
      </c>
    </row>
    <row r="302" spans="1:12" x14ac:dyDescent="0.25">
      <c r="A302" s="8" t="s">
        <v>208</v>
      </c>
      <c r="C302" s="9">
        <f t="shared" si="100"/>
        <v>2.3334370416462952E-3</v>
      </c>
      <c r="D302" s="9">
        <f t="shared" si="100"/>
        <v>1.8104732439555402E-3</v>
      </c>
      <c r="E302" s="9">
        <f t="shared" si="100"/>
        <v>2.1673341221443525E-2</v>
      </c>
      <c r="F302" s="9">
        <f t="shared" si="100"/>
        <v>2.4959142472601423E-2</v>
      </c>
      <c r="G302" s="9">
        <f t="shared" si="102"/>
        <v>2.4507704240515855E-2</v>
      </c>
      <c r="H302" s="9">
        <f t="shared" si="102"/>
        <v>2.4507704240515852E-2</v>
      </c>
      <c r="I302" s="9">
        <f t="shared" si="102"/>
        <v>2.4507704240515849E-2</v>
      </c>
      <c r="J302" s="9">
        <f t="shared" si="102"/>
        <v>2.4507704240515852E-2</v>
      </c>
      <c r="K302" s="9">
        <f t="shared" si="102"/>
        <v>2.4507704240515852E-2</v>
      </c>
      <c r="L302" s="9">
        <f t="shared" si="102"/>
        <v>2.4507704240515852E-2</v>
      </c>
    </row>
    <row r="303" spans="1:12" x14ac:dyDescent="0.25">
      <c r="A303" s="8" t="s">
        <v>209</v>
      </c>
      <c r="C303" s="9">
        <f t="shared" si="100"/>
        <v>0.28627939019511978</v>
      </c>
      <c r="D303" s="9">
        <f t="shared" si="100"/>
        <v>0.26607081471295979</v>
      </c>
      <c r="E303" s="9">
        <f t="shared" si="100"/>
        <v>0.21590288522799672</v>
      </c>
      <c r="F303" s="9">
        <f t="shared" si="100"/>
        <v>0.22901845798884829</v>
      </c>
      <c r="G303" s="9">
        <f t="shared" si="102"/>
        <v>0.24424352577534411</v>
      </c>
      <c r="H303" s="9">
        <f t="shared" si="102"/>
        <v>0.24424352577534411</v>
      </c>
      <c r="I303" s="9">
        <f t="shared" si="102"/>
        <v>0.24424352577534406</v>
      </c>
      <c r="J303" s="9">
        <f t="shared" si="102"/>
        <v>0.24424352577534408</v>
      </c>
      <c r="K303" s="9">
        <f t="shared" si="102"/>
        <v>0.24424352577534408</v>
      </c>
      <c r="L303" s="9">
        <f t="shared" si="102"/>
        <v>0.24424352577534403</v>
      </c>
    </row>
    <row r="304" spans="1:12" x14ac:dyDescent="0.25">
      <c r="A304" s="8" t="s">
        <v>210</v>
      </c>
      <c r="C304" s="9">
        <f t="shared" si="100"/>
        <v>1</v>
      </c>
      <c r="D304" s="9">
        <f t="shared" si="100"/>
        <v>1</v>
      </c>
      <c r="E304" s="9">
        <f t="shared" si="100"/>
        <v>1</v>
      </c>
      <c r="F304" s="9">
        <f t="shared" si="100"/>
        <v>1</v>
      </c>
      <c r="G304" s="9">
        <f>G185/G$165</f>
        <v>1</v>
      </c>
      <c r="H304" s="9">
        <f t="shared" ref="H304:L304" si="103">H185/H$165</f>
        <v>1</v>
      </c>
      <c r="I304" s="9">
        <f t="shared" si="103"/>
        <v>1</v>
      </c>
      <c r="J304" s="9">
        <f t="shared" si="103"/>
        <v>1</v>
      </c>
      <c r="K304" s="9">
        <f t="shared" si="103"/>
        <v>1</v>
      </c>
      <c r="L304" s="9">
        <f t="shared" si="103"/>
        <v>1</v>
      </c>
    </row>
    <row r="306" spans="1:12" x14ac:dyDescent="0.25">
      <c r="A306" s="2" t="s">
        <v>76</v>
      </c>
      <c r="C306" s="2"/>
      <c r="D306" s="2"/>
    </row>
    <row r="307" spans="1:12" x14ac:dyDescent="0.25">
      <c r="A307" s="8" t="s">
        <v>159</v>
      </c>
      <c r="C307" s="4">
        <f>C122/B122-1</f>
        <v>-3.7045088916909386E-2</v>
      </c>
      <c r="D307" s="4">
        <f t="shared" ref="D307:F307" si="104">D122/C122-1</f>
        <v>-5.4883279902469884E-2</v>
      </c>
      <c r="E307" s="4">
        <f t="shared" si="104"/>
        <v>-0.13498793684160237</v>
      </c>
      <c r="F307" s="4">
        <f t="shared" si="104"/>
        <v>-5.2800176736993221E-2</v>
      </c>
      <c r="G307" s="4">
        <f>G122/F122-1</f>
        <v>8.647230320699717E-2</v>
      </c>
      <c r="H307" s="4">
        <f>H122/G122-1</f>
        <v>-3.9049772568516938E-2</v>
      </c>
      <c r="I307" s="4">
        <f t="shared" ref="I307:L307" si="105">I122/H122-1</f>
        <v>-3.9049772568517049E-2</v>
      </c>
      <c r="J307" s="4">
        <f t="shared" si="105"/>
        <v>-3.9049772568517049E-2</v>
      </c>
      <c r="K307" s="4">
        <f t="shared" si="105"/>
        <v>-3.9049772568517049E-2</v>
      </c>
      <c r="L307" s="4">
        <f t="shared" si="105"/>
        <v>-3.9049772568517049E-2</v>
      </c>
    </row>
    <row r="308" spans="1:12" x14ac:dyDescent="0.25">
      <c r="A308" s="8" t="s">
        <v>160</v>
      </c>
      <c r="B308" s="2"/>
      <c r="C308" s="4">
        <f t="shared" ref="C308:H319" si="106">C123/B123-1</f>
        <v>-2.2751411481916284E-2</v>
      </c>
      <c r="D308" s="4">
        <f t="shared" si="106"/>
        <v>-5.8174121954009839E-2</v>
      </c>
      <c r="E308" s="4">
        <f t="shared" si="106"/>
        <v>-0.16665654418463405</v>
      </c>
      <c r="F308" s="4">
        <f t="shared" si="106"/>
        <v>-4.7664164419502941E-2</v>
      </c>
      <c r="G308" s="4">
        <f t="shared" si="106"/>
        <v>0.11877248029387011</v>
      </c>
      <c r="H308" s="4">
        <f t="shared" ref="H308:L308" si="107">H123/G123-1</f>
        <v>-3.9049772568517049E-2</v>
      </c>
      <c r="I308" s="4">
        <f t="shared" si="107"/>
        <v>-3.9049772568517049E-2</v>
      </c>
      <c r="J308" s="4">
        <f t="shared" si="107"/>
        <v>-3.9049772568517049E-2</v>
      </c>
      <c r="K308" s="4">
        <f t="shared" si="107"/>
        <v>-3.904977256851716E-2</v>
      </c>
      <c r="L308" s="4">
        <f t="shared" si="107"/>
        <v>-3.9049772568517049E-2</v>
      </c>
    </row>
    <row r="309" spans="1:12" x14ac:dyDescent="0.25">
      <c r="A309" s="8" t="s">
        <v>161</v>
      </c>
      <c r="B309" s="3"/>
      <c r="C309" s="4">
        <f t="shared" si="106"/>
        <v>-4.6141805115799239E-2</v>
      </c>
      <c r="D309" s="4">
        <f t="shared" si="106"/>
        <v>-5.2737580187975586E-2</v>
      </c>
      <c r="E309" s="4">
        <f t="shared" si="106"/>
        <v>-0.11445783132530118</v>
      </c>
      <c r="F309" s="4">
        <f t="shared" si="106"/>
        <v>-5.5933484504913089E-2</v>
      </c>
      <c r="G309" s="4">
        <f t="shared" si="106"/>
        <v>6.6594452032213924E-2</v>
      </c>
      <c r="H309" s="4">
        <f t="shared" ref="H309:L309" si="108">H124/G124-1</f>
        <v>-3.9049772568517049E-2</v>
      </c>
      <c r="I309" s="4">
        <f t="shared" si="108"/>
        <v>-3.9049772568517049E-2</v>
      </c>
      <c r="J309" s="4">
        <f t="shared" si="108"/>
        <v>-3.9049772568517049E-2</v>
      </c>
      <c r="K309" s="4">
        <f t="shared" si="108"/>
        <v>-3.9049772568517049E-2</v>
      </c>
      <c r="L309" s="4">
        <f t="shared" si="108"/>
        <v>-3.904977256851716E-2</v>
      </c>
    </row>
    <row r="310" spans="1:12" x14ac:dyDescent="0.25">
      <c r="A310" s="8" t="s">
        <v>64</v>
      </c>
      <c r="C310" s="4">
        <f t="shared" si="106"/>
        <v>-4.5940295040074353E-2</v>
      </c>
      <c r="D310" s="4">
        <f t="shared" si="106"/>
        <v>-7.0919827113897882E-2</v>
      </c>
      <c r="E310" s="4">
        <f t="shared" si="106"/>
        <v>-0.15908793080854411</v>
      </c>
      <c r="F310" s="4">
        <f t="shared" si="106"/>
        <v>-0.14274583138538255</v>
      </c>
      <c r="G310" s="4">
        <f t="shared" si="106"/>
        <v>0.10007271405199059</v>
      </c>
      <c r="H310" s="4">
        <f t="shared" ref="H310:L310" si="109">H125/G125-1</f>
        <v>-3.9049772568517049E-2</v>
      </c>
      <c r="I310" s="4">
        <f t="shared" si="109"/>
        <v>-3.9049772568517049E-2</v>
      </c>
      <c r="J310" s="4">
        <f t="shared" si="109"/>
        <v>-3.9049772568517049E-2</v>
      </c>
      <c r="K310" s="4">
        <f t="shared" si="109"/>
        <v>-3.9049772568517049E-2</v>
      </c>
      <c r="L310" s="4">
        <f t="shared" si="109"/>
        <v>-3.9049772568517049E-2</v>
      </c>
    </row>
    <row r="311" spans="1:12" x14ac:dyDescent="0.25">
      <c r="A311" s="8" t="s">
        <v>162</v>
      </c>
      <c r="C311" s="4">
        <f t="shared" si="106"/>
        <v>0.40067624683009306</v>
      </c>
      <c r="D311" s="4">
        <f t="shared" si="106"/>
        <v>-8.8714544357272218E-2</v>
      </c>
      <c r="E311" s="4">
        <f t="shared" si="106"/>
        <v>0.25960264900662255</v>
      </c>
      <c r="F311" s="4">
        <f t="shared" si="106"/>
        <v>-0.43270241850683488</v>
      </c>
      <c r="G311" s="4">
        <f t="shared" si="106"/>
        <v>-0.57553290083410569</v>
      </c>
      <c r="H311" s="4">
        <f t="shared" ref="H311:L311" si="110">H127/G127-1</f>
        <v>-3.9049772568517049E-2</v>
      </c>
      <c r="I311" s="4">
        <f t="shared" si="110"/>
        <v>-3.9049772568516938E-2</v>
      </c>
      <c r="J311" s="4">
        <f t="shared" si="110"/>
        <v>-3.904977256851716E-2</v>
      </c>
      <c r="K311" s="4">
        <f t="shared" si="110"/>
        <v>-3.9049772568516938E-2</v>
      </c>
      <c r="L311" s="4">
        <f t="shared" si="110"/>
        <v>-3.9049772568517049E-2</v>
      </c>
    </row>
    <row r="312" spans="1:12" x14ac:dyDescent="0.25">
      <c r="A312" s="8" t="s">
        <v>163</v>
      </c>
      <c r="C312" s="4">
        <f t="shared" si="106"/>
        <v>-0.10094767202307375</v>
      </c>
      <c r="D312" s="4">
        <f t="shared" si="106"/>
        <v>-1.168652612282306E-2</v>
      </c>
      <c r="E312" s="4">
        <f t="shared" si="106"/>
        <v>-0.10097380013911428</v>
      </c>
      <c r="F312" s="4">
        <f t="shared" si="106"/>
        <v>0.18014184397163113</v>
      </c>
      <c r="G312" s="4">
        <f t="shared" si="106"/>
        <v>0.10205419580419584</v>
      </c>
      <c r="H312" s="4">
        <f t="shared" ref="H312:L313" si="111">H128/G128-1</f>
        <v>-3.9049772568517049E-2</v>
      </c>
      <c r="I312" s="4">
        <f t="shared" si="111"/>
        <v>-3.904977256851716E-2</v>
      </c>
      <c r="J312" s="4">
        <f t="shared" si="111"/>
        <v>-3.9049772568517049E-2</v>
      </c>
      <c r="K312" s="4">
        <f t="shared" si="111"/>
        <v>-3.9049772568517049E-2</v>
      </c>
      <c r="L312" s="4">
        <f t="shared" si="111"/>
        <v>-3.904977256851716E-2</v>
      </c>
    </row>
    <row r="313" spans="1:12" x14ac:dyDescent="0.25">
      <c r="A313" s="8" t="s">
        <v>164</v>
      </c>
      <c r="C313" s="4">
        <f t="shared" si="106"/>
        <v>3.1986531986532007E-2</v>
      </c>
      <c r="D313" s="4">
        <f t="shared" si="106"/>
        <v>4.7308319738988525E-2</v>
      </c>
      <c r="E313" s="4">
        <f t="shared" si="106"/>
        <v>5.7632398753894032E-2</v>
      </c>
      <c r="F313" s="4">
        <f t="shared" si="106"/>
        <v>1.4727540500736325E-2</v>
      </c>
      <c r="G313" s="4">
        <f t="shared" si="106"/>
        <v>-0.18287373004354135</v>
      </c>
      <c r="H313" s="4">
        <f>H129/G129-1</f>
        <v>-1.9358608937450874</v>
      </c>
      <c r="I313" s="4">
        <f t="shared" ref="I313:L313" si="112">I129/H129-1</f>
        <v>1.9454036449413157</v>
      </c>
      <c r="J313" s="4">
        <f t="shared" si="112"/>
        <v>-3.904977256851716E-2</v>
      </c>
      <c r="K313" s="4">
        <f t="shared" si="112"/>
        <v>-3.9049772568516938E-2</v>
      </c>
      <c r="L313" s="4">
        <f t="shared" si="112"/>
        <v>-3.9049772568517049E-2</v>
      </c>
    </row>
    <row r="314" spans="1:12" x14ac:dyDescent="0.25">
      <c r="A314" s="8" t="s">
        <v>74</v>
      </c>
      <c r="C314" s="4">
        <f t="shared" si="106"/>
        <v>0.77225672877846785</v>
      </c>
      <c r="D314" s="4">
        <f t="shared" si="106"/>
        <v>-0.14369158878504673</v>
      </c>
      <c r="E314" s="4">
        <f t="shared" si="106"/>
        <v>0.16371077762619368</v>
      </c>
      <c r="F314" s="4">
        <f t="shared" si="106"/>
        <v>0.11371629542790163</v>
      </c>
      <c r="G314" s="4">
        <f t="shared" si="106"/>
        <v>-4.2105263157894424E-3</v>
      </c>
      <c r="H314" s="4">
        <f t="shared" ref="H314:L314" si="113">H130/G130-1</f>
        <v>-3.9049772568517049E-2</v>
      </c>
      <c r="I314" s="4">
        <f t="shared" si="113"/>
        <v>-3.9049772568517049E-2</v>
      </c>
      <c r="J314" s="4">
        <f t="shared" si="113"/>
        <v>-3.9049772568517049E-2</v>
      </c>
      <c r="K314" s="4">
        <f t="shared" si="113"/>
        <v>-3.9049772568517049E-2</v>
      </c>
      <c r="L314" s="4">
        <f t="shared" si="113"/>
        <v>-3.9049772568517049E-2</v>
      </c>
    </row>
    <row r="315" spans="1:12" x14ac:dyDescent="0.25">
      <c r="A315" s="8" t="s">
        <v>165</v>
      </c>
      <c r="C315" s="4">
        <f t="shared" si="106"/>
        <v>-0.36410923276983098</v>
      </c>
      <c r="D315" s="4">
        <f t="shared" si="106"/>
        <v>0.70756646216768915</v>
      </c>
      <c r="E315" s="4">
        <f t="shared" si="106"/>
        <v>0.28383233532934127</v>
      </c>
      <c r="F315" s="4">
        <f t="shared" si="106"/>
        <v>-5.9701492537313383E-2</v>
      </c>
      <c r="G315" s="4">
        <f t="shared" si="106"/>
        <v>4.0674603174603252E-2</v>
      </c>
      <c r="H315" s="4">
        <f t="shared" ref="H315:L315" si="114">H131/G131-1</f>
        <v>-3.9049772568517049E-2</v>
      </c>
      <c r="I315" s="4">
        <f t="shared" si="114"/>
        <v>-3.9049772568517049E-2</v>
      </c>
      <c r="J315" s="4">
        <f t="shared" si="114"/>
        <v>-3.9049772568517049E-2</v>
      </c>
      <c r="K315" s="4">
        <f t="shared" si="114"/>
        <v>-3.9049772568517049E-2</v>
      </c>
      <c r="L315" s="4">
        <f t="shared" si="114"/>
        <v>-3.9049772568517049E-2</v>
      </c>
    </row>
    <row r="316" spans="1:12" x14ac:dyDescent="0.25">
      <c r="A316" s="8" t="s">
        <v>166</v>
      </c>
      <c r="C316" s="4">
        <f>C131/B131-1</f>
        <v>-1.4996041171813144</v>
      </c>
      <c r="D316" s="4">
        <f t="shared" ref="D316:G316" si="115">D131/C131-1</f>
        <v>-2.9556259904912836</v>
      </c>
      <c r="E316" s="4">
        <f t="shared" si="115"/>
        <v>0.42868719611021078</v>
      </c>
      <c r="F316" s="4">
        <f t="shared" si="115"/>
        <v>-5.0482132728304041E-2</v>
      </c>
      <c r="G316" s="4">
        <f t="shared" si="115"/>
        <v>-1.020310633213859</v>
      </c>
      <c r="H316" s="4">
        <f t="shared" ref="H316:L316" si="116">H132/G132-1</f>
        <v>-3.9049772568517049E-2</v>
      </c>
      <c r="I316" s="4">
        <f t="shared" si="116"/>
        <v>-3.9049772568517049E-2</v>
      </c>
      <c r="J316" s="4">
        <f t="shared" si="116"/>
        <v>-3.9049772568517049E-2</v>
      </c>
      <c r="K316" s="4">
        <f t="shared" si="116"/>
        <v>-3.9049772568516938E-2</v>
      </c>
      <c r="L316" s="4">
        <f t="shared" si="116"/>
        <v>-3.9049772568516938E-2</v>
      </c>
    </row>
    <row r="317" spans="1:12" x14ac:dyDescent="0.25">
      <c r="A317" s="8" t="s">
        <v>167</v>
      </c>
      <c r="C317" s="4">
        <f t="shared" si="106"/>
        <v>3.002680965147464E-2</v>
      </c>
      <c r="D317" s="4">
        <f t="shared" si="106"/>
        <v>-0.15294117647058825</v>
      </c>
      <c r="E317" s="4">
        <f t="shared" si="106"/>
        <v>-0.15314650934119955</v>
      </c>
      <c r="F317" s="4">
        <f t="shared" si="106"/>
        <v>0.19375907111756163</v>
      </c>
      <c r="G317" s="4">
        <f t="shared" si="106"/>
        <v>0.31136778115501529</v>
      </c>
      <c r="H317" s="4">
        <f t="shared" ref="H317:L319" si="117">H133/G133-1</f>
        <v>-3.9049772568517049E-2</v>
      </c>
      <c r="I317" s="4">
        <f t="shared" si="117"/>
        <v>-3.9049772568517049E-2</v>
      </c>
      <c r="J317" s="4">
        <f t="shared" si="117"/>
        <v>-3.9049772568516938E-2</v>
      </c>
      <c r="K317" s="4">
        <f t="shared" si="117"/>
        <v>-3.9049772568517049E-2</v>
      </c>
      <c r="L317" s="4">
        <f t="shared" si="117"/>
        <v>-3.9049772568517049E-2</v>
      </c>
    </row>
    <row r="318" spans="1:12" x14ac:dyDescent="0.25">
      <c r="A318" s="8" t="s">
        <v>168</v>
      </c>
      <c r="C318" s="4">
        <f t="shared" si="106"/>
        <v>1.7264879600181748E-2</v>
      </c>
      <c r="D318" s="4">
        <f t="shared" si="106"/>
        <v>-0.29164805716837872</v>
      </c>
      <c r="E318" s="4">
        <f t="shared" si="106"/>
        <v>2.5353089533417403</v>
      </c>
      <c r="F318" s="4">
        <f t="shared" si="106"/>
        <v>-0.68806848582129487</v>
      </c>
      <c r="G318" s="4">
        <f t="shared" si="106"/>
        <v>2.9731275014293956E-2</v>
      </c>
      <c r="H318" s="4">
        <f t="shared" si="106"/>
        <v>-3.9049772568517049E-2</v>
      </c>
      <c r="I318" s="4">
        <f t="shared" si="117"/>
        <v>-3.9049772568517049E-2</v>
      </c>
      <c r="J318" s="4">
        <f t="shared" si="117"/>
        <v>-3.9049772568517049E-2</v>
      </c>
      <c r="K318" s="4">
        <f t="shared" si="117"/>
        <v>-3.9049772568517049E-2</v>
      </c>
      <c r="L318" s="4">
        <f t="shared" si="117"/>
        <v>-3.9049772568517049E-2</v>
      </c>
    </row>
    <row r="319" spans="1:12" x14ac:dyDescent="0.25">
      <c r="A319" s="8" t="s">
        <v>169</v>
      </c>
      <c r="C319" s="4">
        <f t="shared" si="106"/>
        <v>3.3969679955081489E-2</v>
      </c>
      <c r="D319" s="4">
        <f t="shared" si="106"/>
        <v>-0.1107792560412707</v>
      </c>
      <c r="E319" s="4">
        <f t="shared" si="106"/>
        <v>-0.80412213740458016</v>
      </c>
      <c r="F319" s="4">
        <f>F134/E134-1</f>
        <v>4.0475448168355417</v>
      </c>
      <c r="G319" s="4">
        <f t="shared" si="106"/>
        <v>0.38743051266213713</v>
      </c>
      <c r="H319" s="4">
        <f t="shared" si="106"/>
        <v>-3.9049772568516938E-2</v>
      </c>
      <c r="I319" s="4">
        <f t="shared" si="117"/>
        <v>-3.9049772568517049E-2</v>
      </c>
      <c r="J319" s="4">
        <f t="shared" si="117"/>
        <v>-3.9049772568517049E-2</v>
      </c>
      <c r="K319" s="4">
        <f t="shared" si="117"/>
        <v>-3.9049772568517049E-2</v>
      </c>
      <c r="L319" s="4">
        <f t="shared" si="117"/>
        <v>-3.9049772568516938E-2</v>
      </c>
    </row>
    <row r="322" spans="1:12" x14ac:dyDescent="0.25">
      <c r="A322" s="2" t="s">
        <v>77</v>
      </c>
      <c r="C322" s="2"/>
      <c r="D322" s="2"/>
    </row>
    <row r="323" spans="1:12" x14ac:dyDescent="0.25">
      <c r="A323" s="8" t="s">
        <v>67</v>
      </c>
    </row>
    <row r="324" spans="1:12" x14ac:dyDescent="0.25">
      <c r="A324" s="8" t="s">
        <v>68</v>
      </c>
      <c r="B324" s="2"/>
      <c r="C324" s="9">
        <f>C148/B148-1</f>
        <v>-0.18408126814020986</v>
      </c>
      <c r="D324" s="9">
        <f t="shared" ref="D324:L340" si="118">D148/C148-1</f>
        <v>0.17047475714872085</v>
      </c>
      <c r="E324" s="9">
        <f>E148/D148-1</f>
        <v>-0.29795441262419642</v>
      </c>
      <c r="F324" s="9">
        <f t="shared" ref="F324:G324" si="119">F148/E148-1</f>
        <v>0.51132201132201138</v>
      </c>
      <c r="G324" s="9">
        <f>G148/F148-1</f>
        <v>-0.28610774484961987</v>
      </c>
      <c r="H324" s="9">
        <f t="shared" ref="H324:L324" si="120">H148/G148-1</f>
        <v>-3.9049772568517049E-2</v>
      </c>
      <c r="I324" s="9">
        <f t="shared" si="120"/>
        <v>-3.904977256851716E-2</v>
      </c>
      <c r="J324" s="9">
        <f t="shared" si="120"/>
        <v>-3.9049772568517049E-2</v>
      </c>
      <c r="K324" s="9">
        <f t="shared" si="120"/>
        <v>-3.9049772568517049E-2</v>
      </c>
      <c r="L324" s="9">
        <f t="shared" si="120"/>
        <v>-3.9049772568517049E-2</v>
      </c>
    </row>
    <row r="325" spans="1:12" x14ac:dyDescent="0.25">
      <c r="A325" s="8" t="s">
        <v>177</v>
      </c>
      <c r="C325" s="9">
        <f t="shared" ref="C325:D360" si="121">C149/B149-1</f>
        <v>-8.064516129032262E-2</v>
      </c>
      <c r="D325" s="9">
        <f t="shared" si="118"/>
        <v>0.15296803652968038</v>
      </c>
      <c r="E325" s="9">
        <f t="shared" ref="E325:H360" si="122">E149/D149-1</f>
        <v>-2.532569046378319E-2</v>
      </c>
      <c r="F325" s="9">
        <f t="shared" si="122"/>
        <v>-0.78346877673224979</v>
      </c>
      <c r="G325" s="9">
        <f t="shared" si="122"/>
        <v>-0.27555555555555555</v>
      </c>
      <c r="H325" s="9">
        <f t="shared" si="122"/>
        <v>-3.9049772568516938E-2</v>
      </c>
      <c r="I325" s="9">
        <f t="shared" ref="H325:L325" si="123">I149/H149-1</f>
        <v>-3.9049772568517049E-2</v>
      </c>
      <c r="J325" s="9">
        <f t="shared" si="123"/>
        <v>-3.904977256851716E-2</v>
      </c>
      <c r="K325" s="9">
        <f t="shared" si="123"/>
        <v>-3.9049772568517049E-2</v>
      </c>
      <c r="L325" s="9">
        <f t="shared" si="123"/>
        <v>-3.9049772568517049E-2</v>
      </c>
    </row>
    <row r="326" spans="1:12" x14ac:dyDescent="0.25">
      <c r="A326" s="8" t="s">
        <v>178</v>
      </c>
      <c r="C326" s="9">
        <f t="shared" si="121"/>
        <v>-0.13209328151027211</v>
      </c>
      <c r="D326" s="9">
        <f t="shared" si="118"/>
        <v>0.16115411681914149</v>
      </c>
      <c r="E326" s="9">
        <f t="shared" si="122"/>
        <v>-0.15382920110192833</v>
      </c>
      <c r="F326" s="9">
        <f t="shared" si="122"/>
        <v>-0.27711941659070194</v>
      </c>
      <c r="G326" s="9">
        <f t="shared" si="122"/>
        <v>-0.28418303008466939</v>
      </c>
      <c r="H326" s="9">
        <f t="shared" si="122"/>
        <v>-3.9049772568517049E-2</v>
      </c>
      <c r="I326" s="9">
        <f t="shared" ref="H326:L326" si="124">I150/H150-1</f>
        <v>-3.9049772568517049E-2</v>
      </c>
      <c r="J326" s="9">
        <f t="shared" si="124"/>
        <v>-3.9049772568517049E-2</v>
      </c>
      <c r="K326" s="9">
        <f t="shared" si="124"/>
        <v>-3.9049772568517049E-2</v>
      </c>
      <c r="L326" s="9">
        <f t="shared" si="124"/>
        <v>-3.9049772568517049E-2</v>
      </c>
    </row>
    <row r="327" spans="1:12" x14ac:dyDescent="0.25">
      <c r="A327" s="8" t="s">
        <v>179</v>
      </c>
      <c r="C327" s="9">
        <f t="shared" si="121"/>
        <v>0.16480218281036829</v>
      </c>
      <c r="D327" s="9">
        <f t="shared" si="118"/>
        <v>-5.1065823377840269E-2</v>
      </c>
      <c r="E327" s="9">
        <f t="shared" si="122"/>
        <v>0.31251542828931123</v>
      </c>
      <c r="F327" s="9">
        <f t="shared" si="122"/>
        <v>-5.7175098739890906E-2</v>
      </c>
      <c r="G327" s="9">
        <f t="shared" si="122"/>
        <v>-0.35607420706163972</v>
      </c>
      <c r="H327" s="9">
        <f t="shared" si="122"/>
        <v>-3.9049772568517049E-2</v>
      </c>
      <c r="I327" s="9">
        <f t="shared" ref="H327:L327" si="125">I151/H151-1</f>
        <v>-3.9049772568517049E-2</v>
      </c>
      <c r="J327" s="9">
        <f t="shared" si="125"/>
        <v>-3.9049772568517049E-2</v>
      </c>
      <c r="K327" s="9">
        <f t="shared" si="125"/>
        <v>-3.9049772568517049E-2</v>
      </c>
      <c r="L327" s="9">
        <f t="shared" si="125"/>
        <v>-3.9049772568517049E-2</v>
      </c>
    </row>
    <row r="328" spans="1:12" x14ac:dyDescent="0.25">
      <c r="A328" s="8" t="s">
        <v>216</v>
      </c>
      <c r="C328" s="9">
        <f t="shared" si="121"/>
        <v>-0.11755485893416928</v>
      </c>
      <c r="D328" s="9">
        <f t="shared" si="118"/>
        <v>-2.1568129916264889E-2</v>
      </c>
      <c r="E328" s="9">
        <f t="shared" si="122"/>
        <v>-4.9014522821576811E-2</v>
      </c>
      <c r="F328" s="9">
        <f t="shared" si="122"/>
        <v>4.9086446686665841E-3</v>
      </c>
      <c r="G328" s="9">
        <f t="shared" si="122"/>
        <v>7.7611940298507376E-2</v>
      </c>
      <c r="H328" s="9">
        <f t="shared" si="122"/>
        <v>-3.9049772568517049E-2</v>
      </c>
      <c r="I328" s="9">
        <f t="shared" ref="H328:L328" si="126">I152/H152-1</f>
        <v>-3.904977256851716E-2</v>
      </c>
      <c r="J328" s="9">
        <f t="shared" si="126"/>
        <v>-3.9049772568517049E-2</v>
      </c>
      <c r="K328" s="9">
        <f t="shared" si="126"/>
        <v>-3.9049772568517049E-2</v>
      </c>
      <c r="L328" s="9">
        <f t="shared" si="126"/>
        <v>-3.904977256851716E-2</v>
      </c>
    </row>
    <row r="329" spans="1:12" x14ac:dyDescent="0.25">
      <c r="A329" s="8" t="s">
        <v>69</v>
      </c>
      <c r="C329" s="9">
        <f t="shared" si="121"/>
        <v>-6.3870967741935458E-2</v>
      </c>
      <c r="D329" s="9">
        <f t="shared" si="118"/>
        <v>-7.8221915920055118E-2</v>
      </c>
      <c r="E329" s="9">
        <f t="shared" si="122"/>
        <v>-7.4766355140186702E-3</v>
      </c>
      <c r="F329" s="9">
        <f t="shared" si="122"/>
        <v>0.15668549905838036</v>
      </c>
      <c r="G329" s="9">
        <f t="shared" si="122"/>
        <v>0.10029306414848582</v>
      </c>
      <c r="H329" s="9">
        <f t="shared" si="122"/>
        <v>-3.9049772568517049E-2</v>
      </c>
      <c r="I329" s="9">
        <f t="shared" ref="H329:L329" si="127">I153/H153-1</f>
        <v>-3.9049772568517049E-2</v>
      </c>
      <c r="J329" s="9">
        <f t="shared" si="127"/>
        <v>-3.9049772568516938E-2</v>
      </c>
      <c r="K329" s="9">
        <f t="shared" si="127"/>
        <v>-3.9049772568517049E-2</v>
      </c>
      <c r="L329" s="9">
        <f t="shared" si="127"/>
        <v>-3.9049772568517049E-2</v>
      </c>
    </row>
    <row r="330" spans="1:12" x14ac:dyDescent="0.25">
      <c r="A330" s="8" t="s">
        <v>180</v>
      </c>
      <c r="C330" s="9">
        <f t="shared" si="121"/>
        <v>-0.10241356816699287</v>
      </c>
      <c r="D330" s="9">
        <f t="shared" si="118"/>
        <v>-9.8473837209302362E-2</v>
      </c>
      <c r="E330" s="9">
        <f t="shared" si="122"/>
        <v>-0.19387343812978641</v>
      </c>
      <c r="F330" s="9">
        <f t="shared" si="122"/>
        <v>2.9500000000000082E-2</v>
      </c>
      <c r="G330" s="9">
        <f t="shared" si="122"/>
        <v>-8.402136959689166E-2</v>
      </c>
      <c r="H330" s="9">
        <f t="shared" si="122"/>
        <v>-3.9049772568517049E-2</v>
      </c>
      <c r="I330" s="9">
        <f t="shared" ref="H330:L330" si="128">I154/H154-1</f>
        <v>-3.9049772568516938E-2</v>
      </c>
      <c r="J330" s="9">
        <f t="shared" si="128"/>
        <v>-3.9049772568517049E-2</v>
      </c>
      <c r="K330" s="9">
        <f t="shared" si="128"/>
        <v>-3.9049772568517049E-2</v>
      </c>
      <c r="L330" s="9">
        <f t="shared" si="128"/>
        <v>-3.9049772568517049E-2</v>
      </c>
    </row>
    <row r="331" spans="1:12" x14ac:dyDescent="0.25">
      <c r="A331" s="8" t="s">
        <v>181</v>
      </c>
      <c r="C331" s="9">
        <f t="shared" si="121"/>
        <v>4.7437407952871871</v>
      </c>
      <c r="D331" s="9">
        <f t="shared" si="118"/>
        <v>-0.28282051282051279</v>
      </c>
      <c r="E331" s="9">
        <f t="shared" si="122"/>
        <v>-0.9217018233821952</v>
      </c>
      <c r="F331" s="9">
        <f t="shared" si="122"/>
        <v>112.83561643835617</v>
      </c>
      <c r="G331" s="9">
        <f t="shared" si="122"/>
        <v>-0.18126754913758525</v>
      </c>
      <c r="H331" s="9">
        <f t="shared" si="122"/>
        <v>-3.9049772568517049E-2</v>
      </c>
      <c r="I331" s="9">
        <f t="shared" ref="H331:L331" si="129">I155/H155-1</f>
        <v>-3.904977256851716E-2</v>
      </c>
      <c r="J331" s="9">
        <f t="shared" si="129"/>
        <v>-3.9049772568517049E-2</v>
      </c>
      <c r="K331" s="9">
        <f t="shared" si="129"/>
        <v>-3.9049772568517049E-2</v>
      </c>
      <c r="L331" s="9">
        <f t="shared" si="129"/>
        <v>-3.9049772568517049E-2</v>
      </c>
    </row>
    <row r="332" spans="1:12" x14ac:dyDescent="0.25">
      <c r="A332" s="8" t="s">
        <v>182</v>
      </c>
      <c r="C332" s="9">
        <f t="shared" si="121"/>
        <v>1.239919966046199E-2</v>
      </c>
      <c r="D332" s="9">
        <f t="shared" si="118"/>
        <v>1.8415930528522306E-2</v>
      </c>
      <c r="E332" s="9">
        <f t="shared" si="122"/>
        <v>7.4536900911496673E-2</v>
      </c>
      <c r="F332" s="9">
        <f t="shared" si="122"/>
        <v>-0.468819263921193</v>
      </c>
      <c r="G332" s="9">
        <f t="shared" si="122"/>
        <v>-1.9936121986400157E-2</v>
      </c>
      <c r="H332" s="9">
        <f t="shared" si="122"/>
        <v>-3.904977256851716E-2</v>
      </c>
      <c r="I332" s="9">
        <f t="shared" ref="H332:L332" si="130">I156/H156-1</f>
        <v>-3.9049772568516938E-2</v>
      </c>
      <c r="J332" s="9">
        <f t="shared" si="130"/>
        <v>-3.9049772568516938E-2</v>
      </c>
      <c r="K332" s="9">
        <f t="shared" si="130"/>
        <v>-3.9049772568517049E-2</v>
      </c>
      <c r="L332" s="9">
        <f t="shared" si="130"/>
        <v>-3.9049772568517049E-2</v>
      </c>
    </row>
    <row r="333" spans="1:12" x14ac:dyDescent="0.25">
      <c r="A333" s="8" t="s">
        <v>183</v>
      </c>
      <c r="C333" s="9">
        <f t="shared" si="121"/>
        <v>0.23836332562581686</v>
      </c>
      <c r="D333" s="9">
        <f t="shared" si="118"/>
        <v>0.32001948368241595</v>
      </c>
      <c r="E333" s="9">
        <f t="shared" si="122"/>
        <v>0.28265682656826563</v>
      </c>
      <c r="F333" s="9">
        <f t="shared" si="122"/>
        <v>-0.9584292289988493</v>
      </c>
      <c r="G333" s="9">
        <f t="shared" si="122"/>
        <v>-1.4994232987312617E-2</v>
      </c>
      <c r="H333" s="9">
        <f t="shared" si="122"/>
        <v>-3.9049772568517049E-2</v>
      </c>
      <c r="I333" s="9">
        <f t="shared" ref="H333:L333" si="131">I157/H157-1</f>
        <v>-3.9049772568516938E-2</v>
      </c>
      <c r="J333" s="9">
        <f t="shared" si="131"/>
        <v>-3.9049772568516938E-2</v>
      </c>
      <c r="K333" s="9">
        <f t="shared" si="131"/>
        <v>-3.9049772568517049E-2</v>
      </c>
      <c r="L333" s="9">
        <f t="shared" si="131"/>
        <v>-3.9049772568517049E-2</v>
      </c>
    </row>
    <row r="334" spans="1:12" x14ac:dyDescent="0.25">
      <c r="A334" s="8" t="s">
        <v>184</v>
      </c>
      <c r="C334" s="9">
        <f t="shared" si="121"/>
        <v>-5.6552474170744937E-2</v>
      </c>
      <c r="D334" s="9">
        <f t="shared" si="118"/>
        <v>-0.71498559077809798</v>
      </c>
      <c r="E334" s="9">
        <f t="shared" si="122"/>
        <v>0.10819009100101118</v>
      </c>
      <c r="F334" s="9">
        <f t="shared" si="122"/>
        <v>2.7846715328467155</v>
      </c>
      <c r="G334" s="9">
        <f t="shared" si="122"/>
        <v>0.46456123432979757</v>
      </c>
      <c r="H334" s="9">
        <f t="shared" si="122"/>
        <v>-3.904977256851716E-2</v>
      </c>
      <c r="I334" s="9">
        <f t="shared" ref="H334:L334" si="132">I158/H158-1</f>
        <v>-3.9049772568516938E-2</v>
      </c>
      <c r="J334" s="9">
        <f t="shared" si="132"/>
        <v>-3.9049772568517049E-2</v>
      </c>
      <c r="K334" s="9">
        <f t="shared" si="132"/>
        <v>-3.9049772568517049E-2</v>
      </c>
      <c r="L334" s="9">
        <f t="shared" si="132"/>
        <v>-3.9049772568516938E-2</v>
      </c>
    </row>
    <row r="335" spans="1:12" x14ac:dyDescent="0.25">
      <c r="A335" s="8" t="s">
        <v>185</v>
      </c>
      <c r="C335" s="9">
        <f t="shared" si="121"/>
        <v>-6.7392784206943501E-2</v>
      </c>
      <c r="D335" s="9">
        <f t="shared" si="118"/>
        <v>3.3576642335766405E-2</v>
      </c>
      <c r="E335" s="9">
        <f t="shared" si="122"/>
        <v>7.344632768361592E-2</v>
      </c>
      <c r="F335" s="9">
        <f t="shared" si="122"/>
        <v>-0.41359649122807018</v>
      </c>
      <c r="G335" s="9">
        <f t="shared" si="122"/>
        <v>-9.7980553477935661E-2</v>
      </c>
      <c r="H335" s="9">
        <f t="shared" si="122"/>
        <v>-3.904977256851716E-2</v>
      </c>
      <c r="I335" s="9">
        <f t="shared" ref="H335:L335" si="133">I159/H159-1</f>
        <v>-3.9049772568517049E-2</v>
      </c>
      <c r="J335" s="9">
        <f t="shared" si="133"/>
        <v>-3.9049772568516938E-2</v>
      </c>
      <c r="K335" s="9">
        <f t="shared" si="133"/>
        <v>-3.9049772568517049E-2</v>
      </c>
      <c r="L335" s="9">
        <f t="shared" si="133"/>
        <v>-3.9049772568517049E-2</v>
      </c>
    </row>
    <row r="336" spans="1:12" x14ac:dyDescent="0.25">
      <c r="A336" s="8" t="s">
        <v>186</v>
      </c>
      <c r="C336" s="9">
        <f t="shared" si="121"/>
        <v>-0.14091437162577736</v>
      </c>
      <c r="D336" s="9">
        <f t="shared" si="118"/>
        <v>-0.15400525017898337</v>
      </c>
      <c r="E336" s="9">
        <f t="shared" si="122"/>
        <v>-0.22867889045604139</v>
      </c>
      <c r="F336" s="9">
        <f t="shared" si="122"/>
        <v>0.17005973424356946</v>
      </c>
      <c r="G336" s="9">
        <f t="shared" si="122"/>
        <v>0.12919358199624931</v>
      </c>
      <c r="H336" s="9">
        <f t="shared" si="122"/>
        <v>-3.9049772568517049E-2</v>
      </c>
      <c r="I336" s="9">
        <f t="shared" ref="H336:L336" si="134">I160/H160-1</f>
        <v>-3.9049772568517049E-2</v>
      </c>
      <c r="J336" s="9">
        <f t="shared" si="134"/>
        <v>-3.9049772568517049E-2</v>
      </c>
      <c r="K336" s="9">
        <f t="shared" si="134"/>
        <v>-3.904977256851716E-2</v>
      </c>
      <c r="L336" s="9">
        <f t="shared" si="134"/>
        <v>-3.9049772568517049E-2</v>
      </c>
    </row>
    <row r="337" spans="1:12" x14ac:dyDescent="0.25">
      <c r="A337" s="8" t="s">
        <v>187</v>
      </c>
      <c r="C337" s="9">
        <f t="shared" si="121"/>
        <v>-8.3269554569110671E-2</v>
      </c>
      <c r="D337" s="9">
        <f t="shared" si="118"/>
        <v>1.8033060611120311E-2</v>
      </c>
      <c r="E337" s="9">
        <f t="shared" si="122"/>
        <v>0.10365753649335741</v>
      </c>
      <c r="F337" s="9">
        <f t="shared" si="122"/>
        <v>-6.984693119334251E-3</v>
      </c>
      <c r="G337" s="9">
        <f t="shared" si="122"/>
        <v>0.38671056569889251</v>
      </c>
      <c r="H337" s="9">
        <f t="shared" si="122"/>
        <v>-3.9049772568517049E-2</v>
      </c>
      <c r="I337" s="9">
        <f t="shared" ref="H337:L337" si="135">I161/H161-1</f>
        <v>-3.9049772568517049E-2</v>
      </c>
      <c r="J337" s="9">
        <f t="shared" si="135"/>
        <v>-3.9049772568517049E-2</v>
      </c>
      <c r="K337" s="9">
        <f t="shared" si="135"/>
        <v>-3.9049772568517049E-2</v>
      </c>
      <c r="L337" s="9">
        <f t="shared" si="135"/>
        <v>-3.9049772568517049E-2</v>
      </c>
    </row>
    <row r="338" spans="1:12" x14ac:dyDescent="0.25">
      <c r="A338" s="8" t="s">
        <v>188</v>
      </c>
      <c r="C338" s="9">
        <f t="shared" si="121"/>
        <v>-0.10300493347286588</v>
      </c>
      <c r="D338" s="9">
        <f t="shared" si="118"/>
        <v>-0.38733333333333331</v>
      </c>
      <c r="E338" s="9">
        <f t="shared" si="122"/>
        <v>-0.96245919477693143</v>
      </c>
      <c r="F338" s="9">
        <f t="shared" si="122"/>
        <v>-0.63043478260869568</v>
      </c>
      <c r="G338" s="9">
        <f t="shared" si="122"/>
        <v>1.1372549019607843</v>
      </c>
      <c r="H338" s="9">
        <f t="shared" si="122"/>
        <v>-3.9049772568517049E-2</v>
      </c>
      <c r="I338" s="9">
        <f t="shared" ref="H338:L338" si="136">I162/H162-1</f>
        <v>-3.9049772568517049E-2</v>
      </c>
      <c r="J338" s="9">
        <f t="shared" si="136"/>
        <v>-3.9049772568517049E-2</v>
      </c>
      <c r="K338" s="9">
        <f t="shared" si="136"/>
        <v>-3.9049772568517049E-2</v>
      </c>
      <c r="L338" s="9">
        <f t="shared" si="136"/>
        <v>-3.9049772568517049E-2</v>
      </c>
    </row>
    <row r="339" spans="1:12" x14ac:dyDescent="0.25">
      <c r="A339" s="8" t="s">
        <v>189</v>
      </c>
      <c r="C339" s="9">
        <f t="shared" si="121"/>
        <v>-6.7024793388429704E-2</v>
      </c>
      <c r="D339" s="9">
        <f t="shared" si="118"/>
        <v>-5.8463991496146672E-2</v>
      </c>
      <c r="E339" s="9">
        <f t="shared" si="122"/>
        <v>-0.11553297582086741</v>
      </c>
      <c r="F339" s="9">
        <f t="shared" si="122"/>
        <v>0.50079778746941805</v>
      </c>
      <c r="G339" s="9">
        <f t="shared" si="122"/>
        <v>0.18817775887731236</v>
      </c>
      <c r="H339" s="9">
        <f t="shared" si="122"/>
        <v>-3.9049772568517049E-2</v>
      </c>
      <c r="I339" s="9">
        <f t="shared" ref="H339:L340" si="137">I163/H163-1</f>
        <v>-3.9049772568517049E-2</v>
      </c>
      <c r="J339" s="9">
        <f t="shared" si="137"/>
        <v>-3.9049772568517049E-2</v>
      </c>
      <c r="K339" s="9">
        <f t="shared" si="137"/>
        <v>-3.9049772568517049E-2</v>
      </c>
      <c r="L339" s="9">
        <f t="shared" si="137"/>
        <v>-3.9049772568517049E-2</v>
      </c>
    </row>
    <row r="340" spans="1:12" x14ac:dyDescent="0.25">
      <c r="A340" s="8" t="s">
        <v>190</v>
      </c>
      <c r="C340" s="9">
        <f t="shared" si="121"/>
        <v>-0.18666666666666665</v>
      </c>
      <c r="D340" s="9">
        <f t="shared" si="118"/>
        <v>-0.14988290398126469</v>
      </c>
      <c r="E340" s="9">
        <f t="shared" si="122"/>
        <v>-0.49311294765840219</v>
      </c>
      <c r="F340" s="9">
        <f t="shared" si="122"/>
        <v>1.0244565217391304</v>
      </c>
      <c r="G340" s="9">
        <f t="shared" si="122"/>
        <v>-0.15838926174496648</v>
      </c>
      <c r="H340" s="9">
        <f t="shared" si="122"/>
        <v>-3.9049772568516938E-2</v>
      </c>
      <c r="I340" s="9">
        <f>I164/H164-1</f>
        <v>-3.904977256851716E-2</v>
      </c>
      <c r="J340" s="9">
        <f t="shared" ref="J340:L340" si="138">J164/I164-1</f>
        <v>-3.9049772568516938E-2</v>
      </c>
      <c r="K340" s="9">
        <f t="shared" si="138"/>
        <v>-3.9049772568517049E-2</v>
      </c>
      <c r="L340" s="9">
        <f t="shared" si="138"/>
        <v>-3.9049772568516938E-2</v>
      </c>
    </row>
    <row r="341" spans="1:12" x14ac:dyDescent="0.25">
      <c r="A341" s="8" t="s">
        <v>191</v>
      </c>
      <c r="C341" s="9">
        <f t="shared" si="121"/>
        <v>-2.2027101920172099E-2</v>
      </c>
      <c r="D341" s="9">
        <f t="shared" si="121"/>
        <v>-3.0290235121560927E-2</v>
      </c>
      <c r="E341" s="9">
        <f t="shared" si="122"/>
        <v>7.1731408273174591E-3</v>
      </c>
      <c r="F341" s="9">
        <f t="shared" si="122"/>
        <v>-5.324474378811328E-2</v>
      </c>
      <c r="G341" s="9">
        <f t="shared" si="122"/>
        <v>3.8033551240146179E-2</v>
      </c>
      <c r="H341" s="9">
        <f t="shared" si="122"/>
        <v>-3.9049772568517049E-2</v>
      </c>
      <c r="I341" s="9">
        <f t="shared" ref="H341:L341" si="139">I165/H165-1</f>
        <v>-3.9049772568516938E-2</v>
      </c>
      <c r="J341" s="9">
        <f t="shared" si="139"/>
        <v>-3.904977256851716E-2</v>
      </c>
      <c r="K341" s="9">
        <f t="shared" si="139"/>
        <v>-3.9049772568516938E-2</v>
      </c>
      <c r="L341" s="9">
        <f t="shared" si="139"/>
        <v>-3.9049772568516938E-2</v>
      </c>
    </row>
    <row r="342" spans="1:12" x14ac:dyDescent="0.25">
      <c r="A342" s="8" t="s">
        <v>192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x14ac:dyDescent="0.25">
      <c r="A343" s="8" t="s">
        <v>193</v>
      </c>
      <c r="C343" s="9">
        <f t="shared" si="121"/>
        <v>4.6133853151397064E-2</v>
      </c>
      <c r="D343" s="9">
        <f t="shared" si="121"/>
        <v>-1.7598343685300222E-2</v>
      </c>
      <c r="E343" s="9">
        <f t="shared" si="122"/>
        <v>-7.8187565858798713E-2</v>
      </c>
      <c r="F343" s="9">
        <f t="shared" si="122"/>
        <v>8.9734796524920002E-2</v>
      </c>
      <c r="G343" s="9">
        <f t="shared" si="122"/>
        <v>0.1866149166054758</v>
      </c>
      <c r="H343" s="9">
        <f t="shared" si="122"/>
        <v>-3.9049772568517049E-2</v>
      </c>
      <c r="I343" s="9">
        <f t="shared" ref="H343:L343" si="140">I167/H167-1</f>
        <v>-3.9049772568517049E-2</v>
      </c>
      <c r="J343" s="9">
        <f t="shared" si="140"/>
        <v>-3.9049772568516938E-2</v>
      </c>
      <c r="K343" s="9">
        <f t="shared" si="140"/>
        <v>-3.9049772568517049E-2</v>
      </c>
      <c r="L343" s="9">
        <f t="shared" si="140"/>
        <v>-3.9049772568516938E-2</v>
      </c>
    </row>
    <row r="344" spans="1:12" x14ac:dyDescent="0.25">
      <c r="A344" s="8" t="s">
        <v>194</v>
      </c>
      <c r="C344" s="9">
        <f t="shared" si="121"/>
        <v>-0.31369576581285941</v>
      </c>
      <c r="D344" s="9">
        <f t="shared" si="121"/>
        <v>-4.806154314875466E-2</v>
      </c>
      <c r="E344" s="9">
        <f t="shared" si="122"/>
        <v>5.6569051048167784E-2</v>
      </c>
      <c r="F344" s="9">
        <f t="shared" si="122"/>
        <v>4.7709201060204487E-2</v>
      </c>
      <c r="G344" s="9">
        <f t="shared" si="122"/>
        <v>-0.20534875316226964</v>
      </c>
      <c r="H344" s="9">
        <f t="shared" si="122"/>
        <v>-3.9049772568517049E-2</v>
      </c>
      <c r="I344" s="9">
        <f t="shared" ref="H344:L344" si="141">I168/H168-1</f>
        <v>-3.9049772568517049E-2</v>
      </c>
      <c r="J344" s="9">
        <f t="shared" si="141"/>
        <v>-3.9049772568517049E-2</v>
      </c>
      <c r="K344" s="9">
        <f t="shared" si="141"/>
        <v>-3.9049772568517049E-2</v>
      </c>
      <c r="L344" s="9">
        <f t="shared" si="141"/>
        <v>-3.9049772568517049E-2</v>
      </c>
    </row>
    <row r="345" spans="1:12" x14ac:dyDescent="0.25">
      <c r="A345" s="8" t="s">
        <v>195</v>
      </c>
      <c r="C345" s="9">
        <f t="shared" si="121"/>
        <v>-0.2466216216216216</v>
      </c>
      <c r="D345" s="9">
        <f t="shared" si="121"/>
        <v>0.31801195814648731</v>
      </c>
      <c r="E345" s="9">
        <f t="shared" si="122"/>
        <v>-6.4927700595406868E-2</v>
      </c>
      <c r="F345" s="9">
        <f t="shared" si="122"/>
        <v>0.51697998787143717</v>
      </c>
      <c r="G345" s="9">
        <f t="shared" si="122"/>
        <v>-0.14991005396761947</v>
      </c>
      <c r="H345" s="9">
        <f t="shared" si="122"/>
        <v>-3.9049772568517049E-2</v>
      </c>
      <c r="I345" s="9">
        <f t="shared" ref="H345:L345" si="142">I169/H169-1</f>
        <v>-3.9049772568517049E-2</v>
      </c>
      <c r="J345" s="9">
        <f t="shared" si="142"/>
        <v>-3.9049772568517049E-2</v>
      </c>
      <c r="K345" s="9">
        <f t="shared" si="142"/>
        <v>-3.9049772568517049E-2</v>
      </c>
      <c r="L345" s="9">
        <f t="shared" si="142"/>
        <v>-3.9049772568517049E-2</v>
      </c>
    </row>
    <row r="346" spans="1:12" x14ac:dyDescent="0.25">
      <c r="A346" s="8" t="s">
        <v>196</v>
      </c>
      <c r="C346" s="9">
        <f t="shared" si="121"/>
        <v>-0.17249999999999999</v>
      </c>
      <c r="D346" s="9">
        <f t="shared" si="121"/>
        <v>-7.2507552870090586E-2</v>
      </c>
      <c r="E346" s="9">
        <f t="shared" si="122"/>
        <v>0.33550488599348527</v>
      </c>
      <c r="F346" s="9">
        <f t="shared" si="122"/>
        <v>2.4390243902439046E-3</v>
      </c>
      <c r="G346" s="9">
        <f t="shared" si="122"/>
        <v>7.2992700729928028E-3</v>
      </c>
      <c r="H346" s="9">
        <f t="shared" si="122"/>
        <v>-3.904977256851716E-2</v>
      </c>
      <c r="I346" s="9">
        <f t="shared" ref="H346:L346" si="143">I170/H170-1</f>
        <v>-3.9049772568517049E-2</v>
      </c>
      <c r="J346" s="9">
        <f t="shared" si="143"/>
        <v>-3.9049772568516938E-2</v>
      </c>
      <c r="K346" s="9">
        <f t="shared" si="143"/>
        <v>-3.9049772568517049E-2</v>
      </c>
      <c r="L346" s="9">
        <f t="shared" si="143"/>
        <v>-3.9049772568517049E-2</v>
      </c>
    </row>
    <row r="347" spans="1:12" x14ac:dyDescent="0.25">
      <c r="A347" s="8" t="s">
        <v>197</v>
      </c>
      <c r="C347" s="9">
        <f>C171/B171-1</f>
        <v>18.53448275862069</v>
      </c>
      <c r="D347" s="9">
        <f t="shared" si="121"/>
        <v>-0.37334510150044131</v>
      </c>
      <c r="E347" s="9">
        <f t="shared" si="122"/>
        <v>-0.94788732394366193</v>
      </c>
      <c r="F347" s="9">
        <f t="shared" si="122"/>
        <v>-1</v>
      </c>
      <c r="G347" s="9" t="e">
        <f t="shared" si="122"/>
        <v>#DIV/0!</v>
      </c>
      <c r="H347" s="9" t="e">
        <f t="shared" si="122"/>
        <v>#DIV/0!</v>
      </c>
      <c r="I347" s="9" t="e">
        <f t="shared" ref="H347:L347" si="144">I171/H171-1</f>
        <v>#DIV/0!</v>
      </c>
      <c r="J347" s="9" t="e">
        <f t="shared" si="144"/>
        <v>#DIV/0!</v>
      </c>
      <c r="K347" s="9" t="e">
        <f t="shared" si="144"/>
        <v>#DIV/0!</v>
      </c>
      <c r="L347" s="9" t="e">
        <f t="shared" si="144"/>
        <v>#DIV/0!</v>
      </c>
    </row>
    <row r="348" spans="1:12" x14ac:dyDescent="0.25">
      <c r="A348" s="8" t="s">
        <v>198</v>
      </c>
      <c r="C348" s="9">
        <f t="shared" si="121"/>
        <v>-0.16819052325940564</v>
      </c>
      <c r="D348" s="9">
        <f t="shared" si="121"/>
        <v>-1.4742470942107011E-2</v>
      </c>
      <c r="E348" s="9">
        <f t="shared" si="122"/>
        <v>2.4951002562942914E-2</v>
      </c>
      <c r="F348" s="9">
        <f t="shared" si="122"/>
        <v>5.839523424284776E-2</v>
      </c>
      <c r="G348" s="9">
        <f t="shared" si="122"/>
        <v>-6.2851782363977482E-2</v>
      </c>
      <c r="H348" s="9">
        <f t="shared" si="122"/>
        <v>-3.9049772568517049E-2</v>
      </c>
      <c r="I348" s="9">
        <f t="shared" ref="H348:L348" si="145">I172/H172-1</f>
        <v>-3.9049772568516938E-2</v>
      </c>
      <c r="J348" s="9">
        <f t="shared" si="145"/>
        <v>-3.9049772568517049E-2</v>
      </c>
      <c r="K348" s="9">
        <f t="shared" si="145"/>
        <v>-3.9049772568517049E-2</v>
      </c>
      <c r="L348" s="9">
        <f t="shared" si="145"/>
        <v>-3.904977256851716E-2</v>
      </c>
    </row>
    <row r="349" spans="1:12" x14ac:dyDescent="0.25">
      <c r="A349" s="8" t="s">
        <v>199</v>
      </c>
      <c r="C349" s="9">
        <f t="shared" si="121"/>
        <v>0.48512825893091338</v>
      </c>
      <c r="D349" s="9">
        <f t="shared" ref="D349" si="146">D173/C173-1</f>
        <v>4.849705061636822E-2</v>
      </c>
      <c r="E349" s="9">
        <f t="shared" si="122"/>
        <v>5.046489691416256E-2</v>
      </c>
      <c r="F349" s="9">
        <f t="shared" si="122"/>
        <v>-0.18619716503110773</v>
      </c>
      <c r="G349" s="9">
        <f t="shared" si="122"/>
        <v>8.4331651954602682E-2</v>
      </c>
      <c r="H349" s="9">
        <f t="shared" si="122"/>
        <v>-3.9049772568517049E-2</v>
      </c>
      <c r="I349" s="9">
        <f t="shared" ref="H349:L349" si="147">I174/H174-1</f>
        <v>-3.9049772568517049E-2</v>
      </c>
      <c r="J349" s="9">
        <f t="shared" si="147"/>
        <v>-3.9049772568517049E-2</v>
      </c>
      <c r="K349" s="9">
        <f t="shared" si="147"/>
        <v>-3.9049772568517049E-2</v>
      </c>
      <c r="L349" s="9">
        <f t="shared" si="147"/>
        <v>-3.9049772568517049E-2</v>
      </c>
    </row>
    <row r="350" spans="1:12" x14ac:dyDescent="0.25">
      <c r="A350" s="8" t="s">
        <v>200</v>
      </c>
      <c r="C350" s="9">
        <f t="shared" si="121"/>
        <v>-2.0050125313283207E-2</v>
      </c>
      <c r="D350" s="9">
        <f t="shared" ref="D350" si="148">D174/C174-1</f>
        <v>-5.1150895140664954E-2</v>
      </c>
      <c r="E350" s="9">
        <f t="shared" si="122"/>
        <v>0.96544964469492767</v>
      </c>
      <c r="F350" s="9">
        <f t="shared" si="122"/>
        <v>-4.6752275277396782E-2</v>
      </c>
      <c r="G350" s="9">
        <f t="shared" si="122"/>
        <v>0.11300026157467946</v>
      </c>
      <c r="H350" s="9">
        <f t="shared" si="122"/>
        <v>-3.9049772568517049E-2</v>
      </c>
      <c r="I350" s="9">
        <f t="shared" ref="H350:L350" si="149">I175/H175-1</f>
        <v>-3.9049772568516938E-2</v>
      </c>
      <c r="J350" s="9">
        <f t="shared" si="149"/>
        <v>-3.9049772568517049E-2</v>
      </c>
      <c r="K350" s="9">
        <f t="shared" si="149"/>
        <v>-3.9049772568517049E-2</v>
      </c>
      <c r="L350" s="9">
        <f t="shared" si="149"/>
        <v>-3.9049772568517049E-2</v>
      </c>
    </row>
    <row r="351" spans="1:12" x14ac:dyDescent="0.25">
      <c r="A351" s="8" t="s">
        <v>201</v>
      </c>
      <c r="C351" s="9">
        <f t="shared" si="121"/>
        <v>-0.16767210787792763</v>
      </c>
      <c r="D351" s="9">
        <f t="shared" ref="D351" si="150">D175/C175-1</f>
        <v>-0.19995736516734175</v>
      </c>
      <c r="E351" s="9">
        <f t="shared" si="122"/>
        <v>-0.3280042632560618</v>
      </c>
      <c r="F351" s="9">
        <f t="shared" si="122"/>
        <v>-6.6613798572561445E-2</v>
      </c>
      <c r="G351" s="9">
        <f t="shared" si="122"/>
        <v>-2.9736618521665203E-2</v>
      </c>
      <c r="H351" s="9">
        <f t="shared" si="122"/>
        <v>-3.9049772568517049E-2</v>
      </c>
      <c r="I351" s="9" t="e">
        <f t="shared" ref="H351:L351" si="151">I176/H176-1</f>
        <v>#DIV/0!</v>
      </c>
      <c r="J351" s="9" t="e">
        <f t="shared" si="151"/>
        <v>#DIV/0!</v>
      </c>
      <c r="K351" s="9" t="e">
        <f t="shared" si="151"/>
        <v>#DIV/0!</v>
      </c>
      <c r="L351" s="9" t="e">
        <f t="shared" si="151"/>
        <v>#DIV/0!</v>
      </c>
    </row>
    <row r="352" spans="1:12" x14ac:dyDescent="0.25">
      <c r="A352" s="8" t="s">
        <v>202</v>
      </c>
      <c r="C352" s="9">
        <f t="shared" si="121"/>
        <v>-1</v>
      </c>
      <c r="D352" s="9" t="e">
        <f>D176/C176-1</f>
        <v>#DIV/0!</v>
      </c>
      <c r="E352" s="9" t="e">
        <f t="shared" si="122"/>
        <v>#DIV/0!</v>
      </c>
      <c r="F352" s="9" t="e">
        <f t="shared" si="122"/>
        <v>#DIV/0!</v>
      </c>
      <c r="G352" s="9" t="e">
        <f t="shared" si="122"/>
        <v>#DIV/0!</v>
      </c>
      <c r="H352" s="9" t="e">
        <f t="shared" si="122"/>
        <v>#DIV/0!</v>
      </c>
      <c r="I352" s="9">
        <f t="shared" ref="H352:L352" si="152">I177/H177-1</f>
        <v>-3.9049772568517049E-2</v>
      </c>
      <c r="J352" s="9">
        <f t="shared" si="152"/>
        <v>-3.9049772568516938E-2</v>
      </c>
      <c r="K352" s="9">
        <f t="shared" si="152"/>
        <v>-3.904977256851716E-2</v>
      </c>
      <c r="L352" s="9">
        <f t="shared" si="152"/>
        <v>-3.9049772568517049E-2</v>
      </c>
    </row>
    <row r="353" spans="1:12" x14ac:dyDescent="0.25">
      <c r="A353" s="8" t="s">
        <v>203</v>
      </c>
      <c r="C353" s="9">
        <f t="shared" si="121"/>
        <v>0</v>
      </c>
      <c r="D353" s="9">
        <f t="shared" ref="D353" si="153">D177/C177-1</f>
        <v>0</v>
      </c>
      <c r="E353" s="9">
        <f t="shared" si="122"/>
        <v>0</v>
      </c>
      <c r="F353" s="9">
        <f t="shared" si="122"/>
        <v>0</v>
      </c>
      <c r="G353" s="9">
        <f t="shared" ref="G353:H353" si="154">G177/F177-1</f>
        <v>0</v>
      </c>
      <c r="H353" s="9">
        <f t="shared" si="154"/>
        <v>-3.9049772568517049E-2</v>
      </c>
      <c r="I353" s="9">
        <f t="shared" ref="H353:L353" si="155">I178/H178-1</f>
        <v>-3.9049772568517049E-2</v>
      </c>
      <c r="J353" s="9">
        <f t="shared" si="155"/>
        <v>-3.9049772568517049E-2</v>
      </c>
      <c r="K353" s="9">
        <f t="shared" si="155"/>
        <v>-3.9049772568517049E-2</v>
      </c>
      <c r="L353" s="9">
        <f t="shared" si="155"/>
        <v>-3.9049772568517049E-2</v>
      </c>
    </row>
    <row r="354" spans="1:12" x14ac:dyDescent="0.25">
      <c r="A354" s="8" t="s">
        <v>204</v>
      </c>
      <c r="C354" s="9">
        <f t="shared" si="121"/>
        <v>6.5531397293598914E-2</v>
      </c>
      <c r="D354" s="9">
        <f t="shared" ref="D354" si="156">D178/C178-1</f>
        <v>6.9706050228310446E-2</v>
      </c>
      <c r="E354" s="9">
        <f t="shared" si="122"/>
        <v>5.8093777095978183E-2</v>
      </c>
      <c r="F354" s="9">
        <f t="shared" si="122"/>
        <v>4.135148764498231E-2</v>
      </c>
      <c r="G354" s="9">
        <f t="shared" ref="G354:H354" si="157">G178/F178-1</f>
        <v>3.8377723970944411E-2</v>
      </c>
      <c r="H354" s="9">
        <f t="shared" si="157"/>
        <v>-3.9049772568516938E-2</v>
      </c>
      <c r="I354" s="9">
        <f t="shared" ref="H354:L354" si="158">I179/H179-1</f>
        <v>-3.9049772568517049E-2</v>
      </c>
      <c r="J354" s="9">
        <f t="shared" si="158"/>
        <v>-3.9049772568517049E-2</v>
      </c>
      <c r="K354" s="9">
        <f t="shared" si="158"/>
        <v>-3.9049772568517049E-2</v>
      </c>
      <c r="L354" s="9">
        <f t="shared" si="158"/>
        <v>-3.9049772568517049E-2</v>
      </c>
    </row>
    <row r="355" spans="1:12" x14ac:dyDescent="0.25">
      <c r="A355" s="8" t="s">
        <v>205</v>
      </c>
      <c r="C355" s="9">
        <f t="shared" si="121"/>
        <v>2.5391117840020128E-2</v>
      </c>
      <c r="D355" s="9">
        <f t="shared" ref="D355" si="159">D179/C179-1</f>
        <v>7.4440924051801804E-3</v>
      </c>
      <c r="E355" s="9">
        <f t="shared" si="122"/>
        <v>-7.7432750145033702E-2</v>
      </c>
      <c r="F355" s="9">
        <f t="shared" si="122"/>
        <v>4.6400794307463133E-2</v>
      </c>
      <c r="G355" s="9">
        <f t="shared" ref="G355:H355" si="160">G179/F179-1</f>
        <v>4.1449220356137628E-2</v>
      </c>
      <c r="H355" s="9">
        <f t="shared" si="160"/>
        <v>-3.9049772568517049E-2</v>
      </c>
      <c r="I355" s="9">
        <f t="shared" ref="H355:L355" si="161">I180/H180-1</f>
        <v>-3.9049772568517049E-2</v>
      </c>
      <c r="J355" s="9">
        <f t="shared" si="161"/>
        <v>-3.9049772568516938E-2</v>
      </c>
      <c r="K355" s="9">
        <f t="shared" si="161"/>
        <v>-3.9049772568516938E-2</v>
      </c>
      <c r="L355" s="9">
        <f t="shared" si="161"/>
        <v>-3.9049772568517049E-2</v>
      </c>
    </row>
    <row r="356" spans="1:12" x14ac:dyDescent="0.25">
      <c r="A356" s="8" t="s">
        <v>206</v>
      </c>
      <c r="C356" s="9">
        <f t="shared" si="121"/>
        <v>0.76112168945819625</v>
      </c>
      <c r="D356" s="9">
        <f t="shared" ref="D356" si="162">D180/C180-1</f>
        <v>0.10133674071161791</v>
      </c>
      <c r="E356" s="9">
        <f t="shared" si="122"/>
        <v>-8.0321285140562249E-2</v>
      </c>
      <c r="F356" s="9">
        <f t="shared" si="122"/>
        <v>0.2434740417273169</v>
      </c>
      <c r="G356" s="9">
        <f t="shared" ref="G356:H356" si="163">G180/F180-1</f>
        <v>5.696894022163268E-2</v>
      </c>
      <c r="H356" s="9">
        <f t="shared" si="163"/>
        <v>-3.9049772568517049E-2</v>
      </c>
      <c r="I356" s="9">
        <f t="shared" ref="H356:L356" si="164">I181/H181-1</f>
        <v>-3.9049772568516938E-2</v>
      </c>
      <c r="J356" s="9">
        <f t="shared" si="164"/>
        <v>-3.9049772568516938E-2</v>
      </c>
      <c r="K356" s="9">
        <f t="shared" si="164"/>
        <v>-3.904977256851716E-2</v>
      </c>
      <c r="L356" s="9">
        <f t="shared" si="164"/>
        <v>-3.9049772568517049E-2</v>
      </c>
    </row>
    <row r="357" spans="1:12" x14ac:dyDescent="0.25">
      <c r="A357" s="8" t="s">
        <v>217</v>
      </c>
      <c r="C357" s="9">
        <f t="shared" si="121"/>
        <v>6.7282415630550707E-2</v>
      </c>
      <c r="D357" s="9">
        <f t="shared" ref="D357" si="165">D181/C181-1</f>
        <v>6.4838237252030417E-2</v>
      </c>
      <c r="E357" s="9">
        <f t="shared" si="122"/>
        <v>5.6034842043844346E-2</v>
      </c>
      <c r="F357" s="9">
        <f t="shared" ref="F357:H357" si="166">F181/E181-1</f>
        <v>2.0561595990291393E-2</v>
      </c>
      <c r="G357" s="9">
        <f t="shared" si="166"/>
        <v>1.015100833349436E-2</v>
      </c>
      <c r="H357" s="9">
        <f t="shared" si="166"/>
        <v>-3.9049772568517049E-2</v>
      </c>
      <c r="I357" s="9">
        <f t="shared" ref="H357:L357" si="167">I182/H182-1</f>
        <v>-3.9049772568517049E-2</v>
      </c>
      <c r="J357" s="9">
        <f t="shared" si="167"/>
        <v>-3.9049772568516938E-2</v>
      </c>
      <c r="K357" s="9">
        <f t="shared" si="167"/>
        <v>-3.9049772568517049E-2</v>
      </c>
      <c r="L357" s="9">
        <f t="shared" si="167"/>
        <v>-3.9049772568517049E-2</v>
      </c>
    </row>
    <row r="358" spans="1:12" x14ac:dyDescent="0.25">
      <c r="A358" s="8" t="s">
        <v>207</v>
      </c>
      <c r="C358" s="9">
        <f t="shared" si="121"/>
        <v>-0.15718997361477571</v>
      </c>
      <c r="D358" s="9">
        <f t="shared" ref="D358" si="168">D182/C182-1</f>
        <v>-9.7518979416138407E-2</v>
      </c>
      <c r="E358" s="9">
        <f t="shared" si="122"/>
        <v>-0.25973462839302752</v>
      </c>
      <c r="F358" s="9">
        <f t="shared" ref="F358:H358" si="169">F182/E182-1</f>
        <v>-5.3303655107779235E-3</v>
      </c>
      <c r="G358" s="9">
        <f t="shared" si="169"/>
        <v>0.1177786938342853</v>
      </c>
      <c r="H358" s="9">
        <f t="shared" si="169"/>
        <v>-3.9049772568516938E-2</v>
      </c>
      <c r="I358" s="9">
        <f t="shared" ref="H358:L358" si="170">I183/H183-1</f>
        <v>-3.9049772568517049E-2</v>
      </c>
      <c r="J358" s="9">
        <f t="shared" si="170"/>
        <v>-3.9049772568517049E-2</v>
      </c>
      <c r="K358" s="9">
        <f t="shared" si="170"/>
        <v>-3.9049772568517049E-2</v>
      </c>
      <c r="L358" s="9">
        <f t="shared" si="170"/>
        <v>-3.9049772568517049E-2</v>
      </c>
    </row>
    <row r="359" spans="1:12" x14ac:dyDescent="0.25">
      <c r="A359" s="8" t="s">
        <v>208</v>
      </c>
      <c r="C359" s="9">
        <f t="shared" si="121"/>
        <v>-0.12863070539419086</v>
      </c>
      <c r="D359" s="9">
        <f t="shared" ref="D359" si="171">D183/C183-1</f>
        <v>-0.24761904761904763</v>
      </c>
      <c r="E359" s="9">
        <f t="shared" si="122"/>
        <v>11.056962025316455</v>
      </c>
      <c r="F359" s="9">
        <f t="shared" ref="F359:H359" si="172">F183/E183-1</f>
        <v>9.0288713910761098E-2</v>
      </c>
      <c r="G359" s="9">
        <f t="shared" si="172"/>
        <v>1.9258545979778496E-2</v>
      </c>
      <c r="H359" s="9">
        <f t="shared" si="172"/>
        <v>-3.9049772568517049E-2</v>
      </c>
      <c r="I359" s="9">
        <f t="shared" ref="I359:I361" si="173">I183/H183-1</f>
        <v>-3.9049772568517049E-2</v>
      </c>
      <c r="J359" s="9">
        <f t="shared" ref="J359:J361" si="174">J183/I183-1</f>
        <v>-3.9049772568517049E-2</v>
      </c>
      <c r="K359" s="9">
        <f t="shared" ref="K359:K361" si="175">K183/J183-1</f>
        <v>-3.9049772568517049E-2</v>
      </c>
      <c r="L359" s="9">
        <f t="shared" ref="L359:L361" si="176">L183/K183-1</f>
        <v>-3.9049772568517049E-2</v>
      </c>
    </row>
    <row r="360" spans="1:12" x14ac:dyDescent="0.25">
      <c r="A360" s="8" t="s">
        <v>209</v>
      </c>
      <c r="C360" s="9">
        <f t="shared" si="121"/>
        <v>-0.15696475900657703</v>
      </c>
      <c r="D360" s="9">
        <f t="shared" ref="D360" si="177">D184/C184-1</f>
        <v>-9.8742431299487676E-2</v>
      </c>
      <c r="E360" s="9">
        <f t="shared" si="122"/>
        <v>-0.18273040482342806</v>
      </c>
      <c r="F360" s="9">
        <f t="shared" ref="F360:H361" si="178">F184/E184-1</f>
        <v>4.2683248142487695E-3</v>
      </c>
      <c r="G360" s="9">
        <f t="shared" si="178"/>
        <v>0.10704166229404977</v>
      </c>
      <c r="H360" s="9">
        <f t="shared" si="178"/>
        <v>-3.9049772568517049E-2</v>
      </c>
      <c r="I360" s="9">
        <f t="shared" si="173"/>
        <v>-3.904977256851716E-2</v>
      </c>
      <c r="J360" s="9">
        <f t="shared" si="174"/>
        <v>-3.9049772568517049E-2</v>
      </c>
      <c r="K360" s="9">
        <f t="shared" si="175"/>
        <v>-3.9049772568517049E-2</v>
      </c>
      <c r="L360" s="9">
        <f t="shared" si="176"/>
        <v>-3.904977256851716E-2</v>
      </c>
    </row>
    <row r="361" spans="1:12" x14ac:dyDescent="0.25">
      <c r="A361" s="8" t="s">
        <v>210</v>
      </c>
      <c r="C361" s="9">
        <f>C185/B185-1</f>
        <v>-2.2027101920172099E-2</v>
      </c>
      <c r="D361" s="9">
        <f>D185/C185-1</f>
        <v>-3.0290235121560927E-2</v>
      </c>
      <c r="E361" s="9">
        <f>E185/D185-1</f>
        <v>7.1731408273174591E-3</v>
      </c>
      <c r="F361" s="9">
        <f t="shared" ref="F361:H361" si="179">F185/E185-1</f>
        <v>-5.324474378811328E-2</v>
      </c>
      <c r="G361" s="9">
        <f t="shared" si="179"/>
        <v>3.8033551240146179E-2</v>
      </c>
      <c r="H361" s="9">
        <f t="shared" si="178"/>
        <v>-3.9049772568517049E-2</v>
      </c>
      <c r="I361" s="9">
        <f t="shared" si="173"/>
        <v>-3.9049772568516938E-2</v>
      </c>
      <c r="J361" s="9">
        <f t="shared" si="174"/>
        <v>-3.904977256851716E-2</v>
      </c>
      <c r="K361" s="9">
        <f t="shared" si="175"/>
        <v>-3.9049772568516938E-2</v>
      </c>
      <c r="L361" s="9">
        <f t="shared" si="176"/>
        <v>-3.9049772568516938E-2</v>
      </c>
    </row>
    <row r="363" spans="1:12" x14ac:dyDescent="0.25">
      <c r="A363" s="5" t="s">
        <v>78</v>
      </c>
      <c r="C363" s="5"/>
      <c r="D363" s="5"/>
    </row>
    <row r="364" spans="1:12" x14ac:dyDescent="0.25">
      <c r="A364" s="6" t="s">
        <v>79</v>
      </c>
      <c r="C364" s="3">
        <f>C134/C122</f>
        <v>0.16629791845396669</v>
      </c>
      <c r="D364" s="3">
        <f t="shared" ref="D364:L364" si="180">D134/D122</f>
        <v>0.15646274753362158</v>
      </c>
      <c r="E364" s="3">
        <f t="shared" si="180"/>
        <v>3.5430244117971944E-2</v>
      </c>
      <c r="F364" s="3">
        <f t="shared" si="180"/>
        <v>0.18880466472303206</v>
      </c>
      <c r="G364" s="3">
        <f t="shared" si="180"/>
        <v>0.24110449203026887</v>
      </c>
      <c r="H364" s="3">
        <f t="shared" si="180"/>
        <v>0.24110449203026887</v>
      </c>
      <c r="I364" s="3">
        <f t="shared" si="180"/>
        <v>0.24110449203026887</v>
      </c>
      <c r="J364" s="3">
        <f t="shared" si="180"/>
        <v>0.24110449203026887</v>
      </c>
      <c r="K364" s="3">
        <f t="shared" si="180"/>
        <v>0.24110449203026887</v>
      </c>
      <c r="L364" s="3">
        <f t="shared" si="180"/>
        <v>0.2411044920302689</v>
      </c>
    </row>
    <row r="365" spans="1:12" x14ac:dyDescent="0.25">
      <c r="A365" s="6" t="s">
        <v>80</v>
      </c>
      <c r="B365" s="5"/>
      <c r="C365" s="7">
        <f>C122/C165</f>
        <v>0.4921774301080048</v>
      </c>
      <c r="D365" s="7">
        <f>D122/D165</f>
        <v>0.47969519880829609</v>
      </c>
      <c r="E365" s="7">
        <f t="shared" ref="E365:L365" si="181">E122/E165</f>
        <v>0.41198689360152907</v>
      </c>
      <c r="F365" s="7">
        <f t="shared" si="181"/>
        <v>0.41218034993270525</v>
      </c>
      <c r="G365" s="7">
        <f t="shared" si="181"/>
        <v>0.43141431564811705</v>
      </c>
      <c r="H365" s="7">
        <f t="shared" si="181"/>
        <v>0.43141431564811711</v>
      </c>
      <c r="I365" s="7">
        <f t="shared" si="181"/>
        <v>0.43141431564811705</v>
      </c>
      <c r="J365" s="7">
        <f t="shared" si="181"/>
        <v>0.43141431564811705</v>
      </c>
      <c r="K365" s="7">
        <f t="shared" si="181"/>
        <v>0.43141431564811705</v>
      </c>
      <c r="L365" s="7">
        <f t="shared" si="181"/>
        <v>0.431414315648117</v>
      </c>
    </row>
    <row r="366" spans="1:12" x14ac:dyDescent="0.25">
      <c r="A366" s="6" t="s">
        <v>81</v>
      </c>
      <c r="B366" s="6"/>
      <c r="C366" s="7">
        <f>C165/C184</f>
        <v>3.4930911349169382</v>
      </c>
      <c r="D366" s="7">
        <f t="shared" ref="D366:F366" si="182">D165/D184</f>
        <v>3.7583979328165373</v>
      </c>
      <c r="E366" s="7">
        <f t="shared" si="182"/>
        <v>4.6317120725088268</v>
      </c>
      <c r="F366" s="7">
        <f t="shared" si="182"/>
        <v>4.3664602791478648</v>
      </c>
      <c r="G366" s="7">
        <f>G165/G184</f>
        <v>4.0942743387998863</v>
      </c>
      <c r="H366" s="7">
        <f t="shared" ref="H366:L366" si="183">H163/H182</f>
        <v>0.88319898846214628</v>
      </c>
      <c r="I366" s="7">
        <f t="shared" si="183"/>
        <v>0.88319898846214617</v>
      </c>
      <c r="J366" s="7">
        <f t="shared" si="183"/>
        <v>0.88319898846214606</v>
      </c>
      <c r="K366" s="7">
        <f t="shared" si="183"/>
        <v>0.88319898846214606</v>
      </c>
      <c r="L366" s="7">
        <f t="shared" si="183"/>
        <v>0.88319898846214606</v>
      </c>
    </row>
    <row r="367" spans="1:12" ht="30" x14ac:dyDescent="0.25">
      <c r="A367" s="70" t="s">
        <v>82</v>
      </c>
      <c r="B367" s="6"/>
      <c r="C367" s="4">
        <f>C364*C365*C366</f>
        <v>0.28590281012265178</v>
      </c>
      <c r="D367" s="4">
        <f t="shared" ref="D367:G367" si="184">D364*D365*D366</f>
        <v>0.28208440999138673</v>
      </c>
      <c r="E367" s="4">
        <f t="shared" si="184"/>
        <v>6.7608157242978348E-2</v>
      </c>
      <c r="F367" s="4">
        <f t="shared" si="184"/>
        <v>0.33980480638052263</v>
      </c>
      <c r="G367" s="4">
        <f t="shared" si="184"/>
        <v>0.4258697506872689</v>
      </c>
      <c r="H367" s="4">
        <f t="shared" ref="H367:L367" si="185">H364*H365*H366</f>
        <v>9.1866763655576861E-2</v>
      </c>
      <c r="I367" s="4">
        <f t="shared" si="185"/>
        <v>9.1866763655576833E-2</v>
      </c>
      <c r="J367" s="4">
        <f t="shared" si="185"/>
        <v>9.1866763655576819E-2</v>
      </c>
      <c r="K367" s="4">
        <f t="shared" si="185"/>
        <v>9.1866763655576819E-2</v>
      </c>
      <c r="L367" s="4">
        <f t="shared" si="185"/>
        <v>9.1866763655576819E-2</v>
      </c>
    </row>
    <row r="368" spans="1:12" x14ac:dyDescent="0.25">
      <c r="A368" s="6" t="s">
        <v>83</v>
      </c>
      <c r="B368" s="6"/>
      <c r="C368" s="4">
        <f>C364*C365</f>
        <v>8.1848082136983871E-2</v>
      </c>
      <c r="D368" s="4">
        <f t="shared" ref="D368:G368" si="186">D364*D365</f>
        <v>7.5054428784232838E-2</v>
      </c>
      <c r="E368" s="4">
        <f t="shared" si="186"/>
        <v>1.4596796213707108E-2</v>
      </c>
      <c r="F368" s="4">
        <f t="shared" si="186"/>
        <v>7.7821572774466441E-2</v>
      </c>
      <c r="G368" s="4">
        <f t="shared" si="186"/>
        <v>0.10401592942892533</v>
      </c>
      <c r="H368" s="4">
        <f>H364*H365</f>
        <v>0.10401592942892535</v>
      </c>
      <c r="I368" s="4">
        <f t="shared" ref="H368:L368" si="187">I364*I365</f>
        <v>0.10401592942892533</v>
      </c>
      <c r="J368" s="4">
        <f t="shared" si="187"/>
        <v>0.10401592942892533</v>
      </c>
      <c r="K368" s="4">
        <f t="shared" si="187"/>
        <v>0.10401592942892533</v>
      </c>
      <c r="L368" s="4">
        <f t="shared" si="187"/>
        <v>0.10401592942892533</v>
      </c>
    </row>
    <row r="369" spans="1:12" ht="30" x14ac:dyDescent="0.25">
      <c r="A369" s="70" t="s">
        <v>84</v>
      </c>
      <c r="B369" s="6"/>
      <c r="C369" s="7">
        <f>-(C215/C134)</f>
        <v>0.77939180016291065</v>
      </c>
      <c r="D369" s="7">
        <f t="shared" ref="D369:G369" si="188">-(D215/D134)</f>
        <v>0.92259541984732829</v>
      </c>
      <c r="E369" s="7">
        <f t="shared" si="188"/>
        <v>4.9259547934528447</v>
      </c>
      <c r="F369" s="7">
        <f t="shared" si="188"/>
        <v>1.0259419394688079</v>
      </c>
      <c r="G369" s="7">
        <f t="shared" si="188"/>
        <v>0.76182526432943798</v>
      </c>
      <c r="H369" s="7">
        <f t="shared" ref="H369:L369" si="189">-(H230/H133)</f>
        <v>0</v>
      </c>
      <c r="I369" s="7">
        <f t="shared" si="189"/>
        <v>0</v>
      </c>
      <c r="J369" s="7">
        <f t="shared" si="189"/>
        <v>0</v>
      </c>
      <c r="K369" s="7">
        <f t="shared" si="189"/>
        <v>0</v>
      </c>
      <c r="L369" s="7">
        <f t="shared" si="189"/>
        <v>0</v>
      </c>
    </row>
    <row r="370" spans="1:12" x14ac:dyDescent="0.25">
      <c r="A370" s="6" t="s">
        <v>85</v>
      </c>
      <c r="B370" s="6"/>
      <c r="C370" s="7">
        <f>1-C369</f>
        <v>0.22060819983708935</v>
      </c>
      <c r="D370" s="7">
        <f t="shared" ref="D370:G370" si="190">1-D369</f>
        <v>7.7404580152671709E-2</v>
      </c>
      <c r="E370" s="7">
        <f t="shared" si="190"/>
        <v>-3.9259547934528447</v>
      </c>
      <c r="F370" s="7">
        <f t="shared" si="190"/>
        <v>-2.5941939468807851E-2</v>
      </c>
      <c r="G370" s="7">
        <f t="shared" si="190"/>
        <v>0.23817473567056202</v>
      </c>
      <c r="H370" s="7">
        <f t="shared" ref="H370:L370" si="191">1-H369</f>
        <v>1</v>
      </c>
      <c r="I370" s="7">
        <f t="shared" si="191"/>
        <v>1</v>
      </c>
      <c r="J370" s="7">
        <f t="shared" si="191"/>
        <v>1</v>
      </c>
      <c r="K370" s="7">
        <f t="shared" si="191"/>
        <v>1</v>
      </c>
      <c r="L370" s="7">
        <f t="shared" si="191"/>
        <v>1</v>
      </c>
    </row>
    <row r="371" spans="1:12" x14ac:dyDescent="0.25">
      <c r="A371" s="6" t="s">
        <v>86</v>
      </c>
      <c r="B371" s="6"/>
      <c r="C371" s="7">
        <f>C370*C367</f>
        <v>6.3072504269523377E-2</v>
      </c>
      <c r="D371" s="7">
        <f t="shared" ref="D371:G371" si="192">D370*D367</f>
        <v>2.1834625322997403E-2</v>
      </c>
      <c r="E371" s="7">
        <f t="shared" si="192"/>
        <v>-0.2654265690045845</v>
      </c>
      <c r="F371" s="7">
        <f t="shared" si="192"/>
        <v>-8.8151957183334895E-3</v>
      </c>
      <c r="G371" s="7">
        <f t="shared" si="192"/>
        <v>0.10143141530002842</v>
      </c>
      <c r="H371" s="7">
        <f t="shared" ref="H371:L371" si="193">H370*H367</f>
        <v>9.1866763655576861E-2</v>
      </c>
      <c r="I371" s="7">
        <f t="shared" si="193"/>
        <v>9.1866763655576833E-2</v>
      </c>
      <c r="J371" s="7">
        <f t="shared" si="193"/>
        <v>9.1866763655576819E-2</v>
      </c>
      <c r="K371" s="7">
        <f t="shared" si="193"/>
        <v>9.1866763655576819E-2</v>
      </c>
      <c r="L371" s="7">
        <f t="shared" si="193"/>
        <v>9.1866763655576819E-2</v>
      </c>
    </row>
    <row r="372" spans="1:12" x14ac:dyDescent="0.25">
      <c r="A372" s="6" t="s">
        <v>87</v>
      </c>
      <c r="B372" s="6"/>
      <c r="C372" s="7">
        <f>C370*C368</f>
        <v>1.8056358060358241E-2</v>
      </c>
      <c r="D372" s="7">
        <f t="shared" ref="D372:G372" si="194">D370*D368</f>
        <v>5.8095565486421417E-3</v>
      </c>
      <c r="E372" s="7">
        <f t="shared" si="194"/>
        <v>-5.7306362064257751E-2</v>
      </c>
      <c r="F372" s="7">
        <f t="shared" si="194"/>
        <v>-2.0188425302826336E-3</v>
      </c>
      <c r="G372" s="7">
        <f t="shared" si="194"/>
        <v>2.4773966497262125E-2</v>
      </c>
      <c r="H372" s="7">
        <f t="shared" ref="H372:L372" si="195">H370*H368</f>
        <v>0.10401592942892535</v>
      </c>
      <c r="I372" s="7">
        <f t="shared" si="195"/>
        <v>0.10401592942892533</v>
      </c>
      <c r="J372" s="7">
        <f t="shared" si="195"/>
        <v>0.10401592942892533</v>
      </c>
      <c r="K372" s="7">
        <f t="shared" si="195"/>
        <v>0.10401592942892533</v>
      </c>
      <c r="L372" s="7">
        <f t="shared" si="195"/>
        <v>0.10401592942892533</v>
      </c>
    </row>
    <row r="373" spans="1:12" x14ac:dyDescent="0.25">
      <c r="A373" s="6" t="s">
        <v>88</v>
      </c>
      <c r="B373" s="6"/>
      <c r="C373" s="7">
        <f>(C132-C129-C128-C131)/C129</f>
        <v>8.7675233644859816</v>
      </c>
      <c r="D373" s="7">
        <f t="shared" ref="D373:G373" si="196">(D132-D129-D128-D131)/D129</f>
        <v>10.907230559345157</v>
      </c>
      <c r="E373" s="7">
        <f t="shared" si="196"/>
        <v>8.3481828839390388</v>
      </c>
      <c r="F373" s="7">
        <f t="shared" si="196"/>
        <v>8.6947368421052627</v>
      </c>
      <c r="G373" s="7">
        <f t="shared" si="196"/>
        <v>9.7706131078224097</v>
      </c>
      <c r="H373" s="7">
        <f t="shared" ref="H373:L373" si="197">(H131-H129-H130)/-H129</f>
        <v>-0.10170291793887105</v>
      </c>
      <c r="I373" s="7">
        <f t="shared" si="197"/>
        <v>0.64056482670089876</v>
      </c>
      <c r="J373" s="7">
        <f t="shared" si="197"/>
        <v>0.64056482670089854</v>
      </c>
      <c r="K373" s="7">
        <f t="shared" si="197"/>
        <v>0.64056482670089865</v>
      </c>
      <c r="L373" s="7">
        <f t="shared" si="197"/>
        <v>0.64056482670089865</v>
      </c>
    </row>
    <row r="374" spans="1:12" ht="30" x14ac:dyDescent="0.25">
      <c r="A374" s="70" t="s">
        <v>89</v>
      </c>
      <c r="B374" s="6"/>
      <c r="C374" s="7">
        <f>C124/C127</f>
        <v>3.0719523373052247</v>
      </c>
      <c r="D374" s="7">
        <f t="shared" ref="D374:G374" si="198">D124/D127</f>
        <v>2.944354277764897</v>
      </c>
      <c r="E374" s="7">
        <f t="shared" si="198"/>
        <v>2.900193423597679</v>
      </c>
      <c r="F374" s="7">
        <f t="shared" si="198"/>
        <v>2.3200393356643358</v>
      </c>
      <c r="G374" s="7">
        <f t="shared" si="198"/>
        <v>2.2453896490184415</v>
      </c>
      <c r="H374" s="7">
        <f t="shared" ref="H374:L374" si="199">H124/H127</f>
        <v>2.2453896490184415</v>
      </c>
      <c r="I374" s="7">
        <f t="shared" si="199"/>
        <v>2.2453896490184411</v>
      </c>
      <c r="J374" s="7">
        <f t="shared" si="199"/>
        <v>2.2453896490184415</v>
      </c>
      <c r="K374" s="7">
        <f t="shared" si="199"/>
        <v>2.2453896490184411</v>
      </c>
      <c r="L374" s="7">
        <f t="shared" si="199"/>
        <v>2.2453896490184411</v>
      </c>
    </row>
    <row r="375" spans="1:12" x14ac:dyDescent="0.25">
      <c r="A375" s="6" t="s">
        <v>90</v>
      </c>
      <c r="B375" s="6"/>
      <c r="C375" s="7">
        <f>C148/(C122/365)</f>
        <v>60.229037792929063</v>
      </c>
      <c r="D375" s="7">
        <f t="shared" ref="D375:G375" si="200">D148/(D122/365)</f>
        <v>74.590330363327993</v>
      </c>
      <c r="E375" s="7">
        <f t="shared" si="200"/>
        <v>60.537667071688944</v>
      </c>
      <c r="F375" s="7">
        <f t="shared" si="200"/>
        <v>96.591982507288634</v>
      </c>
      <c r="G375" s="7">
        <f t="shared" si="200"/>
        <v>63.468040573176623</v>
      </c>
      <c r="H375" s="7">
        <f t="shared" ref="H375:L375" si="201">H148/(H122/365)</f>
        <v>63.468040573176623</v>
      </c>
      <c r="I375" s="7">
        <f t="shared" si="201"/>
        <v>63.468040573176609</v>
      </c>
      <c r="J375" s="7">
        <f t="shared" si="201"/>
        <v>63.468040573176609</v>
      </c>
      <c r="K375" s="7">
        <f t="shared" si="201"/>
        <v>63.468040573176616</v>
      </c>
      <c r="L375" s="7">
        <f t="shared" si="201"/>
        <v>63.468040573176623</v>
      </c>
    </row>
    <row r="376" spans="1:12" ht="30" x14ac:dyDescent="0.25">
      <c r="A376" s="70" t="s">
        <v>91</v>
      </c>
      <c r="B376" s="6"/>
      <c r="C376" s="7">
        <f>C123/AVERAGE(B152:C152)</f>
        <v>4.1589151897228502</v>
      </c>
      <c r="D376" s="7">
        <f t="shared" ref="D376:G376" si="202">D123/AVERAGE(C152:D152)</f>
        <v>4.2234192638194177</v>
      </c>
      <c r="E376" s="7">
        <f t="shared" si="202"/>
        <v>3.6477469094776018</v>
      </c>
      <c r="F376" s="7">
        <f t="shared" si="202"/>
        <v>3.5546789989118608</v>
      </c>
      <c r="G376" s="7">
        <f t="shared" si="202"/>
        <v>3.8189655172413794</v>
      </c>
      <c r="H376" s="7">
        <f t="shared" ref="H376:L376" si="203">H123/AVERAGE(G152:H152)</f>
        <v>3.608129346368008</v>
      </c>
      <c r="I376" s="7">
        <f t="shared" si="203"/>
        <v>3.608129346368008</v>
      </c>
      <c r="J376" s="7">
        <f t="shared" si="203"/>
        <v>3.608129346368008</v>
      </c>
      <c r="K376" s="7">
        <f t="shared" si="203"/>
        <v>3.6081293463680084</v>
      </c>
      <c r="L376" s="7">
        <f t="shared" si="203"/>
        <v>3.608129346368008</v>
      </c>
    </row>
    <row r="377" spans="1:12" ht="30" x14ac:dyDescent="0.25">
      <c r="A377" s="70" t="s">
        <v>92</v>
      </c>
      <c r="B377" s="6"/>
      <c r="C377" s="7">
        <f t="shared" ref="C377:L377" si="204">C122/AVERAGE(B151:C151)</f>
        <v>11.165616334761785</v>
      </c>
      <c r="D377" s="7">
        <f t="shared" ref="D377" si="205">D122/AVERAGE(C151:D151)</f>
        <v>10.063221153846154</v>
      </c>
      <c r="E377" s="7">
        <f t="shared" ref="E377" si="206">E122/AVERAGE(D151:E151)</f>
        <v>7.7309991460290348</v>
      </c>
      <c r="F377" s="7">
        <f t="shared" ref="F377" si="207">F122/AVERAGE(E151:F151)</f>
        <v>6.6408518877057112</v>
      </c>
      <c r="G377" s="7">
        <f t="shared" ref="G377" si="208">G122/AVERAGE(F151:G151)</f>
        <v>9.0440480524208233</v>
      </c>
      <c r="H377" s="7">
        <f t="shared" si="204"/>
        <v>11.314713783563269</v>
      </c>
      <c r="I377" s="7">
        <f t="shared" si="204"/>
        <v>11.314713783563267</v>
      </c>
      <c r="J377" s="7">
        <f t="shared" si="204"/>
        <v>11.314713783563267</v>
      </c>
      <c r="K377" s="7">
        <f t="shared" si="204"/>
        <v>11.314713783563267</v>
      </c>
      <c r="L377" s="7">
        <f t="shared" si="204"/>
        <v>11.314713783563267</v>
      </c>
    </row>
    <row r="378" spans="1:12" x14ac:dyDescent="0.25">
      <c r="A378" s="6" t="s">
        <v>93</v>
      </c>
      <c r="B378" s="6"/>
      <c r="C378" s="64">
        <f>C123+(B153-C153)</f>
        <v>17680</v>
      </c>
      <c r="D378" s="64">
        <f t="shared" ref="D378:G378" si="209">D123+(C153-D153)</f>
        <v>16692</v>
      </c>
      <c r="E378" s="64">
        <f t="shared" si="209"/>
        <v>13741</v>
      </c>
      <c r="F378" s="64">
        <f t="shared" si="209"/>
        <v>12651</v>
      </c>
      <c r="G378" s="64">
        <f t="shared" si="209"/>
        <v>14311</v>
      </c>
      <c r="H378" s="64">
        <f>H123+(G153-H153)</f>
        <v>14180.080556329867</v>
      </c>
      <c r="I378" s="64">
        <f t="shared" ref="I378:L378" si="210">I123+(I152-H152)</f>
        <v>13350.543710045084</v>
      </c>
      <c r="J378" s="64">
        <f t="shared" si="210"/>
        <v>12829.208014501779</v>
      </c>
      <c r="K378" s="64">
        <f t="shared" si="210"/>
        <v>12328.230359301288</v>
      </c>
      <c r="L378" s="64">
        <f t="shared" si="210"/>
        <v>11846.815767598284</v>
      </c>
    </row>
    <row r="379" spans="1:12" ht="30" x14ac:dyDescent="0.25">
      <c r="A379" s="70" t="s">
        <v>94</v>
      </c>
      <c r="B379" s="6"/>
      <c r="C379" s="91">
        <f>C378/AVERAGE(B167:C167)</f>
        <v>1.8714935958505345</v>
      </c>
      <c r="D379" s="91">
        <f t="shared" ref="D379:G379" si="211">D378/AVERAGE(C167:D167)</f>
        <v>1.7432898172323761</v>
      </c>
      <c r="E379" s="91">
        <f t="shared" si="211"/>
        <v>1.5068538216909748</v>
      </c>
      <c r="F379" s="91">
        <f t="shared" si="211"/>
        <v>1.3840599529566215</v>
      </c>
      <c r="G379" s="91">
        <f t="shared" si="211"/>
        <v>1.3730870712401055</v>
      </c>
      <c r="H379" s="91">
        <f t="shared" ref="H379" si="212">H378/AVERAGE(G167:H167)</f>
        <v>1.2785058709529054</v>
      </c>
      <c r="I379" s="91">
        <f t="shared" ref="I379" si="213">I378/AVERAGE(H167:I167)</f>
        <v>1.2526279205293693</v>
      </c>
      <c r="J379" s="91">
        <f t="shared" ref="J379" si="214">J378/AVERAGE(I167:J167)</f>
        <v>1.2526279205293696</v>
      </c>
      <c r="K379" s="91">
        <f t="shared" ref="K379" si="215">K378/AVERAGE(J167:K167)</f>
        <v>1.2526279205293696</v>
      </c>
      <c r="L379" s="91">
        <f t="shared" ref="L379" si="216">L378/AVERAGE(K167:L167)</f>
        <v>1.2526279205293691</v>
      </c>
    </row>
    <row r="380" spans="1:12" x14ac:dyDescent="0.25">
      <c r="A380" s="70" t="s">
        <v>95</v>
      </c>
      <c r="B380" s="6"/>
      <c r="C380" s="7">
        <f>365/C376</f>
        <v>87.763270792815462</v>
      </c>
      <c r="D380" s="7">
        <f t="shared" ref="D380:L380" si="217">365/D376</f>
        <v>86.422866686911632</v>
      </c>
      <c r="E380" s="7">
        <f t="shared" si="217"/>
        <v>100.06176663508491</v>
      </c>
      <c r="F380" s="7">
        <f t="shared" si="217"/>
        <v>102.68156424581005</v>
      </c>
      <c r="G380" s="7">
        <f t="shared" si="217"/>
        <v>95.575620767494357</v>
      </c>
      <c r="H380" s="7">
        <f t="shared" si="217"/>
        <v>101.16045323248014</v>
      </c>
      <c r="I380" s="7">
        <f t="shared" si="217"/>
        <v>101.16045323248014</v>
      </c>
      <c r="J380" s="7">
        <f t="shared" si="217"/>
        <v>101.16045323248014</v>
      </c>
      <c r="K380" s="7">
        <f t="shared" si="217"/>
        <v>101.16045323248012</v>
      </c>
      <c r="L380" s="7">
        <f t="shared" si="217"/>
        <v>101.16045323248014</v>
      </c>
    </row>
    <row r="381" spans="1:12" x14ac:dyDescent="0.25">
      <c r="A381" s="70" t="s">
        <v>96</v>
      </c>
      <c r="B381" s="6"/>
      <c r="C381" s="7">
        <f>365/C377</f>
        <v>32.689641937959998</v>
      </c>
      <c r="D381" s="7">
        <f t="shared" ref="D381:L381" si="218">365/D377</f>
        <v>36.270692496954354</v>
      </c>
      <c r="E381" s="7">
        <f t="shared" si="218"/>
        <v>47.212526234397437</v>
      </c>
      <c r="F381" s="7">
        <f t="shared" si="218"/>
        <v>54.962827988338198</v>
      </c>
      <c r="G381" s="7">
        <f t="shared" si="218"/>
        <v>40.358034132989857</v>
      </c>
      <c r="H381" s="7">
        <f t="shared" si="218"/>
        <v>32.258880514523533</v>
      </c>
      <c r="I381" s="7">
        <f t="shared" si="218"/>
        <v>32.25888051452354</v>
      </c>
      <c r="J381" s="7">
        <f t="shared" si="218"/>
        <v>32.25888051452354</v>
      </c>
      <c r="K381" s="7">
        <f t="shared" si="218"/>
        <v>32.25888051452354</v>
      </c>
      <c r="L381" s="7">
        <f t="shared" si="218"/>
        <v>32.25888051452354</v>
      </c>
    </row>
    <row r="382" spans="1:12" ht="30" x14ac:dyDescent="0.25">
      <c r="A382" s="70" t="s">
        <v>97</v>
      </c>
      <c r="B382" s="6"/>
      <c r="C382" s="65">
        <f>C380+C381</f>
        <v>120.45291273077547</v>
      </c>
      <c r="D382" s="65">
        <f t="shared" ref="D382:L382" si="219">D380+D381</f>
        <v>122.69355918386599</v>
      </c>
      <c r="E382" s="65">
        <f t="shared" si="219"/>
        <v>147.27429286948234</v>
      </c>
      <c r="F382" s="65">
        <f t="shared" si="219"/>
        <v>157.64439223414826</v>
      </c>
      <c r="G382" s="65">
        <f t="shared" si="219"/>
        <v>135.93365490048421</v>
      </c>
      <c r="H382" s="65">
        <f t="shared" si="219"/>
        <v>133.41933374700366</v>
      </c>
      <c r="I382" s="65">
        <f t="shared" si="219"/>
        <v>133.41933374700369</v>
      </c>
      <c r="J382" s="65">
        <f t="shared" si="219"/>
        <v>133.41933374700369</v>
      </c>
      <c r="K382" s="65">
        <f t="shared" si="219"/>
        <v>133.41933374700366</v>
      </c>
      <c r="L382" s="65">
        <f t="shared" si="219"/>
        <v>133.41933374700369</v>
      </c>
    </row>
    <row r="383" spans="1:12" x14ac:dyDescent="0.25">
      <c r="A383" s="6" t="s">
        <v>98</v>
      </c>
      <c r="B383" s="6"/>
      <c r="C383" s="7">
        <f>365/C379</f>
        <v>195.03139140271495</v>
      </c>
      <c r="D383" s="7">
        <f t="shared" ref="D383:G383" si="220">365/D379</f>
        <v>209.37425113826981</v>
      </c>
      <c r="E383" s="7">
        <f t="shared" si="220"/>
        <v>242.22654828615094</v>
      </c>
      <c r="F383" s="7">
        <f t="shared" si="220"/>
        <v>263.71689984981424</v>
      </c>
      <c r="G383" s="7">
        <f>365/G379</f>
        <v>265.82436587240585</v>
      </c>
      <c r="H383" s="7">
        <f t="shared" ref="H383:L383" si="221">365/H379</f>
        <v>285.48949855658896</v>
      </c>
      <c r="I383" s="7">
        <f t="shared" si="221"/>
        <v>291.38740564376724</v>
      </c>
      <c r="J383" s="7">
        <f t="shared" si="221"/>
        <v>291.38740564376718</v>
      </c>
      <c r="K383" s="7">
        <f t="shared" si="221"/>
        <v>291.38740564376718</v>
      </c>
      <c r="L383" s="7">
        <f t="shared" si="221"/>
        <v>291.38740564376729</v>
      </c>
    </row>
    <row r="384" spans="1:12" x14ac:dyDescent="0.25">
      <c r="A384" s="6" t="s">
        <v>99</v>
      </c>
      <c r="B384" s="6"/>
      <c r="C384" s="7">
        <f>C382-C383</f>
        <v>-74.578478671939479</v>
      </c>
      <c r="D384" s="7">
        <f t="shared" ref="D384:G384" si="222">D382-D383</f>
        <v>-86.680691954403827</v>
      </c>
      <c r="E384" s="7">
        <f t="shared" si="222"/>
        <v>-94.952255416668606</v>
      </c>
      <c r="F384" s="7">
        <f t="shared" si="222"/>
        <v>-106.07250761566598</v>
      </c>
      <c r="G384" s="7">
        <f>G382-G383</f>
        <v>-129.89071097192164</v>
      </c>
      <c r="H384" s="7">
        <f t="shared" ref="H384:L384" si="223">H382-H383</f>
        <v>-152.07016480958529</v>
      </c>
      <c r="I384" s="7">
        <f t="shared" si="223"/>
        <v>-157.96807189676355</v>
      </c>
      <c r="J384" s="7">
        <f t="shared" si="223"/>
        <v>-157.96807189676349</v>
      </c>
      <c r="K384" s="7">
        <f t="shared" si="223"/>
        <v>-157.96807189676352</v>
      </c>
      <c r="L384" s="7">
        <f t="shared" si="223"/>
        <v>-157.9680718967636</v>
      </c>
    </row>
    <row r="385" spans="2:2" x14ac:dyDescent="0.25">
      <c r="B385" s="6"/>
    </row>
    <row r="386" spans="2:2" x14ac:dyDescent="0.25">
      <c r="B386" s="6"/>
    </row>
  </sheetData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915F-8AD1-4CD1-A33A-F6620C47F41D}">
  <dimension ref="A1:G105"/>
  <sheetViews>
    <sheetView workbookViewId="0">
      <pane ySplit="1" topLeftCell="A2" activePane="bottomLeft" state="frozen"/>
      <selection pane="bottomLeft" activeCell="C5" sqref="C5:G5"/>
    </sheetView>
  </sheetViews>
  <sheetFormatPr defaultRowHeight="15" x14ac:dyDescent="0.25"/>
  <cols>
    <col min="1" max="1" width="27.85546875" customWidth="1"/>
    <col min="2" max="2" width="16.28515625" bestFit="1" customWidth="1"/>
    <col min="3" max="4" width="12.28515625" style="82" bestFit="1" customWidth="1"/>
    <col min="5" max="7" width="12.28515625" bestFit="1" customWidth="1"/>
  </cols>
  <sheetData>
    <row r="1" spans="1:7" x14ac:dyDescent="0.25">
      <c r="B1" s="8" t="s">
        <v>158</v>
      </c>
      <c r="C1" s="82" t="s">
        <v>213</v>
      </c>
      <c r="D1" s="82" t="s">
        <v>1</v>
      </c>
      <c r="E1" s="8" t="s">
        <v>251</v>
      </c>
      <c r="F1" s="8" t="s">
        <v>252</v>
      </c>
      <c r="G1" s="8" t="s">
        <v>253</v>
      </c>
    </row>
    <row r="3" spans="1:7" x14ac:dyDescent="0.25">
      <c r="A3" t="s">
        <v>211</v>
      </c>
      <c r="B3" t="s">
        <v>157</v>
      </c>
    </row>
    <row r="4" spans="1:7" s="8" customFormat="1" x14ac:dyDescent="0.25">
      <c r="A4" s="8" t="s">
        <v>212</v>
      </c>
      <c r="C4" s="82"/>
      <c r="D4" s="82"/>
    </row>
    <row r="5" spans="1:7" x14ac:dyDescent="0.25">
      <c r="B5" s="8" t="s">
        <v>158</v>
      </c>
      <c r="C5" s="82" t="s">
        <v>213</v>
      </c>
      <c r="D5" s="82" t="s">
        <v>1</v>
      </c>
      <c r="E5" s="8" t="s">
        <v>251</v>
      </c>
      <c r="F5" s="8" t="s">
        <v>252</v>
      </c>
      <c r="G5" s="8" t="s">
        <v>253</v>
      </c>
    </row>
    <row r="6" spans="1:7" x14ac:dyDescent="0.25">
      <c r="A6" t="s">
        <v>159</v>
      </c>
      <c r="B6" s="75">
        <v>45998</v>
      </c>
      <c r="C6" s="82">
        <v>44294</v>
      </c>
      <c r="D6" s="82">
        <v>41863</v>
      </c>
      <c r="E6" s="78">
        <v>36212</v>
      </c>
      <c r="F6" s="78">
        <v>34300</v>
      </c>
      <c r="G6" s="78">
        <v>37266</v>
      </c>
    </row>
    <row r="7" spans="1:7" x14ac:dyDescent="0.25">
      <c r="A7" t="s">
        <v>160</v>
      </c>
      <c r="B7" s="76">
        <v>17889</v>
      </c>
      <c r="C7" s="82">
        <v>17482</v>
      </c>
      <c r="D7" s="82">
        <v>16465</v>
      </c>
      <c r="E7" s="79">
        <v>13721</v>
      </c>
      <c r="F7" s="79">
        <v>13067</v>
      </c>
      <c r="G7" s="79">
        <v>14619</v>
      </c>
    </row>
    <row r="8" spans="1:7" x14ac:dyDescent="0.25">
      <c r="A8" t="s">
        <v>161</v>
      </c>
      <c r="B8" s="76">
        <v>28109</v>
      </c>
      <c r="C8" s="82">
        <v>26812</v>
      </c>
      <c r="D8" s="82">
        <v>25398</v>
      </c>
      <c r="E8" s="79">
        <v>22491</v>
      </c>
      <c r="F8" s="79">
        <v>21233</v>
      </c>
      <c r="G8" s="79">
        <v>22647</v>
      </c>
    </row>
    <row r="9" spans="1:7" x14ac:dyDescent="0.25">
      <c r="A9" t="s">
        <v>64</v>
      </c>
      <c r="B9" s="76">
        <v>17218</v>
      </c>
      <c r="C9" s="82">
        <v>16427</v>
      </c>
      <c r="D9" s="82">
        <v>15262</v>
      </c>
      <c r="E9" s="79">
        <v>12834</v>
      </c>
      <c r="F9" s="79">
        <v>11002</v>
      </c>
      <c r="G9" s="79">
        <v>12103</v>
      </c>
    </row>
    <row r="10" spans="1:7" x14ac:dyDescent="0.25">
      <c r="A10" t="s">
        <v>162</v>
      </c>
      <c r="B10" s="76">
        <v>1183</v>
      </c>
      <c r="C10" s="82">
        <v>1657</v>
      </c>
      <c r="D10" s="82">
        <v>1510</v>
      </c>
      <c r="E10" s="79">
        <v>1902</v>
      </c>
      <c r="F10" s="79">
        <v>1079</v>
      </c>
      <c r="G10" s="79">
        <v>458</v>
      </c>
    </row>
    <row r="11" spans="1:7" x14ac:dyDescent="0.25">
      <c r="A11" t="s">
        <v>163</v>
      </c>
      <c r="B11" s="76">
        <v>9708</v>
      </c>
      <c r="C11" s="82">
        <v>8728</v>
      </c>
      <c r="D11" s="82">
        <v>8626</v>
      </c>
      <c r="E11" s="79">
        <v>7755</v>
      </c>
      <c r="F11" s="79">
        <v>9152</v>
      </c>
      <c r="G11" s="79">
        <v>10086</v>
      </c>
    </row>
    <row r="12" spans="1:7" x14ac:dyDescent="0.25">
      <c r="A12" t="s">
        <v>164</v>
      </c>
      <c r="B12" s="8">
        <v>594</v>
      </c>
      <c r="C12" s="82">
        <v>613</v>
      </c>
      <c r="D12" s="82">
        <v>642</v>
      </c>
      <c r="E12" s="79">
        <v>679</v>
      </c>
      <c r="F12" s="79">
        <v>689</v>
      </c>
      <c r="G12" s="79">
        <v>563</v>
      </c>
    </row>
    <row r="13" spans="1:7" x14ac:dyDescent="0.25">
      <c r="A13" t="s">
        <v>74</v>
      </c>
      <c r="B13" s="8">
        <v>483</v>
      </c>
      <c r="C13" s="82">
        <v>856</v>
      </c>
      <c r="D13" s="82">
        <v>733</v>
      </c>
      <c r="E13" s="79">
        <v>853</v>
      </c>
      <c r="F13" s="79">
        <v>950</v>
      </c>
      <c r="G13" s="79">
        <v>946</v>
      </c>
    </row>
    <row r="14" spans="1:7" x14ac:dyDescent="0.25">
      <c r="A14" t="s">
        <v>165</v>
      </c>
      <c r="B14" s="8">
        <v>769</v>
      </c>
      <c r="C14" s="82">
        <v>489</v>
      </c>
      <c r="D14" s="82">
        <v>835</v>
      </c>
      <c r="E14" s="79">
        <v>1072</v>
      </c>
      <c r="F14" s="79">
        <v>1008</v>
      </c>
      <c r="G14" s="79">
        <v>1049</v>
      </c>
    </row>
    <row r="15" spans="1:7" x14ac:dyDescent="0.25">
      <c r="A15" t="s">
        <v>166</v>
      </c>
      <c r="B15" s="76">
        <v>-1263</v>
      </c>
      <c r="C15" s="82">
        <v>631</v>
      </c>
      <c r="D15" s="82">
        <v>-1234</v>
      </c>
      <c r="E15" s="79">
        <v>-1763</v>
      </c>
      <c r="F15" s="79">
        <v>-1674</v>
      </c>
      <c r="G15" s="79">
        <v>34</v>
      </c>
    </row>
    <row r="16" spans="1:7" x14ac:dyDescent="0.25">
      <c r="A16" t="s">
        <v>167</v>
      </c>
      <c r="B16" s="76">
        <v>9325</v>
      </c>
      <c r="C16" s="82">
        <v>9605</v>
      </c>
      <c r="D16" s="82">
        <v>8136</v>
      </c>
      <c r="E16" s="79">
        <v>6890</v>
      </c>
      <c r="F16" s="79">
        <v>8225</v>
      </c>
      <c r="G16" s="79">
        <v>10786</v>
      </c>
    </row>
    <row r="17" spans="1:7" x14ac:dyDescent="0.25">
      <c r="A17" t="s">
        <v>168</v>
      </c>
      <c r="B17" s="76">
        <v>2201</v>
      </c>
      <c r="C17" s="82">
        <v>2239</v>
      </c>
      <c r="D17" s="82">
        <v>1586</v>
      </c>
      <c r="E17" s="79">
        <v>5607</v>
      </c>
      <c r="F17" s="79">
        <v>1749</v>
      </c>
      <c r="G17" s="79">
        <v>1801</v>
      </c>
    </row>
    <row r="18" spans="1:7" x14ac:dyDescent="0.25">
      <c r="A18" t="s">
        <v>169</v>
      </c>
      <c r="B18" s="76">
        <v>7124</v>
      </c>
      <c r="C18" s="82">
        <v>7366</v>
      </c>
      <c r="D18" s="82">
        <v>6550</v>
      </c>
      <c r="E18" s="79">
        <v>1283</v>
      </c>
      <c r="F18" s="79">
        <v>6476</v>
      </c>
      <c r="G18" s="79">
        <v>8985</v>
      </c>
    </row>
    <row r="19" spans="1:7" x14ac:dyDescent="0.25">
      <c r="A19" t="s">
        <v>65</v>
      </c>
      <c r="B19" s="8">
        <v>26</v>
      </c>
      <c r="C19" s="82">
        <v>15</v>
      </c>
      <c r="D19" s="82">
        <v>23</v>
      </c>
      <c r="E19" s="79">
        <v>35</v>
      </c>
      <c r="F19" s="79">
        <v>42</v>
      </c>
      <c r="G19" s="79">
        <v>65</v>
      </c>
    </row>
    <row r="20" spans="1:7" x14ac:dyDescent="0.25">
      <c r="A20" t="s">
        <v>170</v>
      </c>
      <c r="B20" s="75">
        <v>7098</v>
      </c>
      <c r="C20" s="82">
        <v>7351</v>
      </c>
      <c r="D20" s="82">
        <v>6527</v>
      </c>
      <c r="E20" s="78">
        <v>1248</v>
      </c>
      <c r="F20" s="78">
        <v>6434</v>
      </c>
      <c r="G20" s="78">
        <v>8920</v>
      </c>
    </row>
    <row r="21" spans="1:7" x14ac:dyDescent="0.25">
      <c r="A21" t="s">
        <v>171</v>
      </c>
      <c r="B21" s="77">
        <v>1.62</v>
      </c>
      <c r="C21" s="82">
        <v>1.69</v>
      </c>
      <c r="D21" s="82">
        <v>1.51</v>
      </c>
      <c r="E21" s="80">
        <v>0.28999999999999998</v>
      </c>
      <c r="F21" s="80">
        <v>1.51</v>
      </c>
      <c r="G21" s="80">
        <v>2.09</v>
      </c>
    </row>
    <row r="22" spans="1:7" x14ac:dyDescent="0.25">
      <c r="A22" t="s">
        <v>172</v>
      </c>
      <c r="B22" s="77">
        <v>1.6</v>
      </c>
      <c r="C22" s="82">
        <v>1.67</v>
      </c>
      <c r="D22" s="82">
        <v>1.49</v>
      </c>
      <c r="E22" s="80">
        <v>0.28999999999999998</v>
      </c>
      <c r="F22" s="80">
        <v>1.5</v>
      </c>
      <c r="G22" s="80">
        <v>2.0699999999999998</v>
      </c>
    </row>
    <row r="23" spans="1:7" x14ac:dyDescent="0.25">
      <c r="A23" t="s">
        <v>173</v>
      </c>
      <c r="B23" s="76">
        <v>4387</v>
      </c>
      <c r="C23" s="82">
        <v>4352</v>
      </c>
      <c r="D23" s="82">
        <v>4317</v>
      </c>
      <c r="E23" s="79">
        <v>4272</v>
      </c>
      <c r="F23" s="79">
        <v>4259</v>
      </c>
      <c r="G23" s="79">
        <v>4276</v>
      </c>
    </row>
    <row r="24" spans="1:7" x14ac:dyDescent="0.25">
      <c r="A24" t="s">
        <v>174</v>
      </c>
      <c r="B24" s="8">
        <v>63</v>
      </c>
      <c r="C24" s="82">
        <v>53</v>
      </c>
      <c r="D24" s="82">
        <v>50</v>
      </c>
      <c r="E24" s="79">
        <v>52</v>
      </c>
      <c r="F24" s="79">
        <v>40</v>
      </c>
      <c r="G24" s="79">
        <v>38</v>
      </c>
    </row>
    <row r="25" spans="1:7" x14ac:dyDescent="0.25">
      <c r="A25" t="s">
        <v>175</v>
      </c>
      <c r="B25" s="76">
        <v>4450</v>
      </c>
      <c r="C25" s="82">
        <v>4405</v>
      </c>
      <c r="D25" s="82">
        <v>4367</v>
      </c>
      <c r="E25" s="79">
        <v>4324</v>
      </c>
      <c r="F25" s="79">
        <v>4299</v>
      </c>
      <c r="G25" s="79">
        <v>4314</v>
      </c>
    </row>
    <row r="27" spans="1:7" x14ac:dyDescent="0.25">
      <c r="A27" t="s">
        <v>214</v>
      </c>
    </row>
    <row r="28" spans="1:7" x14ac:dyDescent="0.25">
      <c r="A28" t="s">
        <v>215</v>
      </c>
      <c r="B28" s="75"/>
    </row>
    <row r="29" spans="1:7" s="8" customFormat="1" x14ac:dyDescent="0.25">
      <c r="B29" s="75"/>
      <c r="C29" s="82" t="s">
        <v>213</v>
      </c>
      <c r="D29" s="82" t="s">
        <v>1</v>
      </c>
      <c r="E29" s="82" t="s">
        <v>251</v>
      </c>
      <c r="F29" s="82" t="s">
        <v>252</v>
      </c>
      <c r="G29" s="82" t="s">
        <v>253</v>
      </c>
    </row>
    <row r="30" spans="1:7" x14ac:dyDescent="0.25">
      <c r="A30" t="s">
        <v>176</v>
      </c>
      <c r="B30" s="76"/>
    </row>
    <row r="31" spans="1:7" x14ac:dyDescent="0.25">
      <c r="A31" t="s">
        <v>68</v>
      </c>
      <c r="B31" s="76"/>
      <c r="C31" s="82">
        <v>7309</v>
      </c>
      <c r="D31" s="82">
        <v>8555</v>
      </c>
      <c r="E31" s="81">
        <v>6006</v>
      </c>
      <c r="F31">
        <v>9077</v>
      </c>
      <c r="G31">
        <v>6480</v>
      </c>
    </row>
    <row r="32" spans="1:7" x14ac:dyDescent="0.25">
      <c r="A32" t="s">
        <v>177</v>
      </c>
      <c r="B32" s="76"/>
      <c r="C32" s="82">
        <v>8322</v>
      </c>
      <c r="D32" s="82">
        <v>9595</v>
      </c>
      <c r="E32" s="81">
        <v>9352</v>
      </c>
      <c r="F32">
        <v>2025</v>
      </c>
      <c r="G32">
        <v>1467</v>
      </c>
    </row>
    <row r="33" spans="1:7" x14ac:dyDescent="0.25">
      <c r="A33" t="s">
        <v>178</v>
      </c>
      <c r="B33" s="76"/>
      <c r="C33" s="82">
        <v>15631</v>
      </c>
      <c r="D33" s="82">
        <v>18150</v>
      </c>
      <c r="E33" s="81">
        <v>15358</v>
      </c>
      <c r="F33">
        <v>11102</v>
      </c>
      <c r="G33">
        <v>7947</v>
      </c>
    </row>
    <row r="34" spans="1:7" x14ac:dyDescent="0.25">
      <c r="A34" t="s">
        <v>179</v>
      </c>
      <c r="B34" s="76"/>
      <c r="C34" s="82">
        <v>4269</v>
      </c>
      <c r="D34" s="82">
        <v>4051</v>
      </c>
      <c r="E34" s="81">
        <v>5317</v>
      </c>
      <c r="F34">
        <v>5013</v>
      </c>
      <c r="G34">
        <v>3228</v>
      </c>
    </row>
    <row r="35" spans="1:7" x14ac:dyDescent="0.25">
      <c r="A35" t="s">
        <v>216</v>
      </c>
      <c r="B35" s="76"/>
      <c r="C35" s="82">
        <v>3941</v>
      </c>
      <c r="D35" s="82">
        <v>3856</v>
      </c>
      <c r="E35" s="81">
        <v>3667</v>
      </c>
      <c r="F35">
        <v>3685</v>
      </c>
      <c r="G35">
        <v>3971</v>
      </c>
    </row>
    <row r="36" spans="1:7" x14ac:dyDescent="0.25">
      <c r="A36" t="s">
        <v>69</v>
      </c>
      <c r="B36" s="76"/>
      <c r="C36" s="82">
        <v>2902</v>
      </c>
      <c r="D36" s="82">
        <v>2675</v>
      </c>
      <c r="E36" s="81">
        <v>2655</v>
      </c>
      <c r="F36">
        <v>3071</v>
      </c>
      <c r="G36">
        <v>3379</v>
      </c>
    </row>
    <row r="37" spans="1:7" x14ac:dyDescent="0.25">
      <c r="A37" t="s">
        <v>180</v>
      </c>
      <c r="B37" s="76"/>
      <c r="C37" s="82">
        <v>2752</v>
      </c>
      <c r="D37" s="82">
        <v>2481</v>
      </c>
      <c r="E37" s="81">
        <v>2000</v>
      </c>
      <c r="F37">
        <v>2059</v>
      </c>
      <c r="G37">
        <v>1886</v>
      </c>
    </row>
    <row r="38" spans="1:7" x14ac:dyDescent="0.25">
      <c r="A38" t="s">
        <v>181</v>
      </c>
      <c r="B38" s="76"/>
      <c r="C38" s="82">
        <v>3900</v>
      </c>
      <c r="D38" s="82">
        <v>2797</v>
      </c>
      <c r="E38" s="81">
        <v>219</v>
      </c>
      <c r="F38">
        <v>24930</v>
      </c>
      <c r="G38">
        <v>20411</v>
      </c>
    </row>
    <row r="39" spans="1:7" x14ac:dyDescent="0.25">
      <c r="A39" t="s">
        <v>182</v>
      </c>
      <c r="B39" s="76"/>
      <c r="C39" s="82">
        <v>33395</v>
      </c>
      <c r="D39" s="82">
        <v>34010</v>
      </c>
      <c r="E39" s="81">
        <v>36545</v>
      </c>
      <c r="F39">
        <v>19412</v>
      </c>
      <c r="G39">
        <v>19025</v>
      </c>
    </row>
    <row r="40" spans="1:7" x14ac:dyDescent="0.25">
      <c r="A40" t="s">
        <v>183</v>
      </c>
      <c r="B40" s="76"/>
      <c r="C40" s="82">
        <v>12318</v>
      </c>
      <c r="D40" s="82">
        <v>16260</v>
      </c>
      <c r="E40" s="81">
        <v>20856</v>
      </c>
      <c r="F40">
        <v>867</v>
      </c>
      <c r="G40">
        <v>854</v>
      </c>
    </row>
    <row r="41" spans="1:7" x14ac:dyDescent="0.25">
      <c r="A41" t="s">
        <v>184</v>
      </c>
      <c r="B41" s="76"/>
      <c r="C41" s="82">
        <v>3470</v>
      </c>
      <c r="D41" s="82">
        <v>989</v>
      </c>
      <c r="E41" s="81">
        <v>1096</v>
      </c>
      <c r="F41">
        <v>4148</v>
      </c>
      <c r="G41">
        <v>6075</v>
      </c>
    </row>
    <row r="42" spans="1:7" x14ac:dyDescent="0.25">
      <c r="A42" t="s">
        <v>185</v>
      </c>
      <c r="B42" s="76"/>
      <c r="C42" s="82">
        <v>4110</v>
      </c>
      <c r="D42" s="82">
        <v>4248</v>
      </c>
      <c r="E42" s="81">
        <v>4560</v>
      </c>
      <c r="F42">
        <v>2674</v>
      </c>
      <c r="G42">
        <v>2412</v>
      </c>
    </row>
    <row r="43" spans="1:7" x14ac:dyDescent="0.25">
      <c r="A43" t="s">
        <v>186</v>
      </c>
      <c r="B43" s="75"/>
      <c r="C43" s="82">
        <v>12571</v>
      </c>
      <c r="D43" s="82">
        <v>10635</v>
      </c>
      <c r="E43" s="81">
        <v>8203</v>
      </c>
      <c r="F43">
        <v>9598</v>
      </c>
      <c r="G43">
        <v>10838</v>
      </c>
    </row>
    <row r="44" spans="1:7" x14ac:dyDescent="0.25">
      <c r="A44" t="s">
        <v>187</v>
      </c>
      <c r="B44" s="77"/>
      <c r="C44" s="82">
        <v>5989</v>
      </c>
      <c r="D44" s="82">
        <v>6097</v>
      </c>
      <c r="E44" s="81">
        <v>6729</v>
      </c>
      <c r="F44">
        <v>6682</v>
      </c>
      <c r="G44">
        <v>9266</v>
      </c>
    </row>
    <row r="45" spans="1:7" x14ac:dyDescent="0.25">
      <c r="A45" t="s">
        <v>188</v>
      </c>
      <c r="B45" s="77"/>
      <c r="C45" s="82">
        <v>6000</v>
      </c>
      <c r="D45" s="82">
        <v>3676</v>
      </c>
      <c r="E45" s="81">
        <v>138</v>
      </c>
      <c r="F45">
        <v>51</v>
      </c>
      <c r="G45">
        <v>109</v>
      </c>
    </row>
    <row r="46" spans="1:7" x14ac:dyDescent="0.25">
      <c r="A46" t="s">
        <v>189</v>
      </c>
      <c r="B46" s="76"/>
      <c r="C46" s="82">
        <v>11289</v>
      </c>
      <c r="D46" s="82">
        <v>10629</v>
      </c>
      <c r="E46" s="81">
        <v>9401</v>
      </c>
      <c r="F46">
        <v>14109</v>
      </c>
      <c r="G46">
        <v>16764</v>
      </c>
    </row>
    <row r="47" spans="1:7" x14ac:dyDescent="0.25">
      <c r="A47" t="s">
        <v>190</v>
      </c>
      <c r="C47" s="82">
        <v>854</v>
      </c>
      <c r="D47" s="82">
        <v>726</v>
      </c>
      <c r="E47" s="81">
        <v>368</v>
      </c>
      <c r="F47">
        <v>745</v>
      </c>
      <c r="G47">
        <v>627</v>
      </c>
    </row>
    <row r="48" spans="1:7" x14ac:dyDescent="0.25">
      <c r="A48" t="s">
        <v>191</v>
      </c>
      <c r="B48" s="76"/>
      <c r="C48" s="82">
        <v>89996</v>
      </c>
      <c r="D48" s="82">
        <v>87270</v>
      </c>
      <c r="E48" s="81">
        <v>87896</v>
      </c>
      <c r="F48">
        <v>83216</v>
      </c>
      <c r="G48">
        <v>86381</v>
      </c>
    </row>
    <row r="49" spans="1:7" x14ac:dyDescent="0.25">
      <c r="A49" t="s">
        <v>192</v>
      </c>
      <c r="E49" s="82"/>
    </row>
    <row r="50" spans="1:7" x14ac:dyDescent="0.25">
      <c r="A50" t="s">
        <v>193</v>
      </c>
      <c r="B50" s="76"/>
      <c r="C50" s="82">
        <v>9660</v>
      </c>
      <c r="D50" s="82">
        <v>9490</v>
      </c>
      <c r="E50" s="81">
        <v>8748</v>
      </c>
      <c r="F50">
        <v>9533</v>
      </c>
      <c r="G50">
        <v>11312</v>
      </c>
    </row>
    <row r="51" spans="1:7" x14ac:dyDescent="0.25">
      <c r="A51" t="s">
        <v>194</v>
      </c>
      <c r="B51" s="76"/>
      <c r="C51" s="82">
        <v>13129</v>
      </c>
      <c r="D51" s="82">
        <v>12498</v>
      </c>
      <c r="E51" s="81">
        <v>13205</v>
      </c>
      <c r="F51">
        <v>13835</v>
      </c>
      <c r="G51">
        <v>10994</v>
      </c>
    </row>
    <row r="52" spans="1:7" x14ac:dyDescent="0.25">
      <c r="A52" t="s">
        <v>195</v>
      </c>
      <c r="B52" s="76"/>
      <c r="C52" s="82">
        <v>2676</v>
      </c>
      <c r="D52" s="82">
        <v>3527</v>
      </c>
      <c r="E52" s="81">
        <v>3298</v>
      </c>
      <c r="F52">
        <v>5003</v>
      </c>
      <c r="G52">
        <v>4253</v>
      </c>
    </row>
    <row r="53" spans="1:7" x14ac:dyDescent="0.25">
      <c r="A53" t="s">
        <v>196</v>
      </c>
      <c r="C53" s="82">
        <v>331</v>
      </c>
      <c r="D53" s="82">
        <v>307</v>
      </c>
      <c r="E53" s="81">
        <v>410</v>
      </c>
      <c r="F53">
        <v>411</v>
      </c>
      <c r="G53">
        <v>414</v>
      </c>
    </row>
    <row r="54" spans="1:7" x14ac:dyDescent="0.25">
      <c r="A54" t="s">
        <v>197</v>
      </c>
      <c r="B54" s="76"/>
      <c r="C54" s="82">
        <v>1133</v>
      </c>
      <c r="D54" s="82">
        <v>710</v>
      </c>
      <c r="E54" s="81">
        <v>37</v>
      </c>
      <c r="F54" s="82">
        <v>0</v>
      </c>
      <c r="G54" s="82">
        <v>0</v>
      </c>
    </row>
    <row r="55" spans="1:7" x14ac:dyDescent="0.25">
      <c r="A55" t="s">
        <v>198</v>
      </c>
      <c r="B55" s="76"/>
      <c r="C55" s="82">
        <v>26929</v>
      </c>
      <c r="D55" s="82">
        <v>26532</v>
      </c>
      <c r="E55" s="81">
        <v>27194</v>
      </c>
      <c r="F55">
        <v>28782</v>
      </c>
      <c r="G55" s="8">
        <v>26973</v>
      </c>
    </row>
    <row r="56" spans="1:7" x14ac:dyDescent="0.25">
      <c r="A56" t="s">
        <v>199</v>
      </c>
      <c r="B56" s="76"/>
      <c r="C56" s="82">
        <v>28311</v>
      </c>
      <c r="D56" s="82">
        <v>29684</v>
      </c>
      <c r="E56" s="81">
        <v>31182</v>
      </c>
      <c r="F56">
        <v>25376</v>
      </c>
      <c r="G56" s="8">
        <v>27516</v>
      </c>
    </row>
    <row r="57" spans="1:7" x14ac:dyDescent="0.25">
      <c r="A57" t="s">
        <v>200</v>
      </c>
      <c r="B57" s="76"/>
      <c r="C57" s="82">
        <v>4301</v>
      </c>
      <c r="D57" s="82">
        <v>4081</v>
      </c>
      <c r="E57" s="81">
        <v>8021</v>
      </c>
      <c r="F57">
        <v>7646</v>
      </c>
      <c r="G57" s="8">
        <v>8510</v>
      </c>
    </row>
    <row r="58" spans="1:7" x14ac:dyDescent="0.25">
      <c r="A58" t="s">
        <v>201</v>
      </c>
      <c r="B58" s="76"/>
      <c r="C58" s="82">
        <v>4691</v>
      </c>
      <c r="D58" s="82">
        <v>3753</v>
      </c>
      <c r="E58" s="81">
        <v>2522</v>
      </c>
      <c r="F58">
        <v>2354</v>
      </c>
      <c r="G58" s="8">
        <v>2284</v>
      </c>
    </row>
    <row r="59" spans="1:7" x14ac:dyDescent="0.25">
      <c r="A59" t="s">
        <v>202</v>
      </c>
      <c r="E59" s="82"/>
      <c r="G59" s="8"/>
    </row>
    <row r="60" spans="1:7" x14ac:dyDescent="0.25">
      <c r="A60" t="s">
        <v>203</v>
      </c>
      <c r="B60" s="76"/>
      <c r="C60" s="82">
        <v>1760</v>
      </c>
      <c r="D60" s="82">
        <v>1760</v>
      </c>
      <c r="E60" s="81">
        <v>1760</v>
      </c>
      <c r="F60">
        <v>1760</v>
      </c>
      <c r="G60" s="8">
        <v>1760</v>
      </c>
    </row>
    <row r="61" spans="1:7" x14ac:dyDescent="0.25">
      <c r="A61" t="s">
        <v>204</v>
      </c>
      <c r="B61" s="76"/>
      <c r="C61" s="82">
        <v>14016</v>
      </c>
      <c r="D61" s="82">
        <v>14993</v>
      </c>
      <c r="E61" s="81">
        <v>15864</v>
      </c>
      <c r="F61">
        <v>16520</v>
      </c>
      <c r="G61" s="8">
        <v>17154</v>
      </c>
    </row>
    <row r="62" spans="1:7" x14ac:dyDescent="0.25">
      <c r="A62" t="s">
        <v>205</v>
      </c>
      <c r="B62" s="76"/>
      <c r="C62" s="82">
        <v>65018</v>
      </c>
      <c r="D62" s="82">
        <v>65502</v>
      </c>
      <c r="E62" s="81">
        <v>60430</v>
      </c>
      <c r="F62">
        <v>63234</v>
      </c>
      <c r="G62" s="8">
        <v>65855</v>
      </c>
    </row>
    <row r="63" spans="1:7" x14ac:dyDescent="0.25">
      <c r="A63" t="s">
        <v>206</v>
      </c>
      <c r="B63" s="76"/>
      <c r="C63" s="82">
        <v>-10174</v>
      </c>
      <c r="D63" s="82">
        <v>-11205</v>
      </c>
      <c r="E63" s="81">
        <v>-10305</v>
      </c>
      <c r="F63">
        <v>-12814</v>
      </c>
      <c r="G63" s="8">
        <v>-13544</v>
      </c>
    </row>
    <row r="64" spans="1:7" x14ac:dyDescent="0.25">
      <c r="A64" t="s">
        <v>217</v>
      </c>
      <c r="B64" s="76"/>
      <c r="C64" s="82">
        <v>-45066</v>
      </c>
      <c r="D64" s="82">
        <v>-47988</v>
      </c>
      <c r="E64" s="81">
        <v>-50677</v>
      </c>
      <c r="F64">
        <v>-51719</v>
      </c>
      <c r="G64" s="8">
        <v>-52244</v>
      </c>
    </row>
    <row r="65" spans="1:7" x14ac:dyDescent="0.25">
      <c r="A65" t="s">
        <v>207</v>
      </c>
      <c r="B65" s="76"/>
      <c r="C65" s="82">
        <v>25554</v>
      </c>
      <c r="D65" s="82">
        <v>23062</v>
      </c>
      <c r="E65" s="81">
        <v>17072</v>
      </c>
      <c r="F65">
        <v>16981</v>
      </c>
      <c r="G65" s="8">
        <v>18981</v>
      </c>
    </row>
    <row r="66" spans="1:7" x14ac:dyDescent="0.25">
      <c r="A66" t="s">
        <v>208</v>
      </c>
      <c r="C66" s="82">
        <v>210</v>
      </c>
      <c r="D66" s="82">
        <v>158</v>
      </c>
      <c r="E66" s="81">
        <v>1905</v>
      </c>
      <c r="F66">
        <v>2077</v>
      </c>
      <c r="G66" s="8">
        <v>2117</v>
      </c>
    </row>
    <row r="67" spans="1:7" x14ac:dyDescent="0.25">
      <c r="A67" t="s">
        <v>209</v>
      </c>
      <c r="B67" s="76"/>
      <c r="C67" s="82">
        <v>25764</v>
      </c>
      <c r="D67" s="82">
        <v>23220</v>
      </c>
      <c r="E67" s="81">
        <v>18977</v>
      </c>
      <c r="F67">
        <v>19058</v>
      </c>
      <c r="G67" s="8">
        <v>21098</v>
      </c>
    </row>
    <row r="68" spans="1:7" x14ac:dyDescent="0.25">
      <c r="A68" t="s">
        <v>210</v>
      </c>
      <c r="B68" s="75"/>
      <c r="C68" s="82">
        <v>89996</v>
      </c>
      <c r="D68" s="82">
        <v>87270</v>
      </c>
      <c r="E68" s="81">
        <v>87896</v>
      </c>
      <c r="F68">
        <v>83216</v>
      </c>
      <c r="G68">
        <v>86381</v>
      </c>
    </row>
    <row r="69" spans="1:7" x14ac:dyDescent="0.25">
      <c r="E69" s="78"/>
    </row>
    <row r="70" spans="1:7" x14ac:dyDescent="0.25">
      <c r="A70" t="s">
        <v>218</v>
      </c>
      <c r="B70" t="s">
        <v>157</v>
      </c>
      <c r="E70" s="78"/>
    </row>
    <row r="71" spans="1:7" x14ac:dyDescent="0.25">
      <c r="A71" t="s">
        <v>215</v>
      </c>
      <c r="C71" s="82" t="s">
        <v>213</v>
      </c>
      <c r="D71" s="82" t="s">
        <v>1</v>
      </c>
      <c r="E71" s="82" t="s">
        <v>251</v>
      </c>
      <c r="F71" s="82" t="s">
        <v>252</v>
      </c>
      <c r="G71" s="82" t="s">
        <v>253</v>
      </c>
    </row>
    <row r="72" spans="1:7" x14ac:dyDescent="0.25">
      <c r="A72" t="s">
        <v>219</v>
      </c>
    </row>
    <row r="73" spans="1:7" x14ac:dyDescent="0.25">
      <c r="A73" t="s">
        <v>169</v>
      </c>
      <c r="B73" s="75"/>
      <c r="C73" s="82">
        <v>7366</v>
      </c>
      <c r="D73" s="82">
        <v>6550</v>
      </c>
      <c r="E73">
        <v>1283</v>
      </c>
      <c r="F73">
        <v>6476</v>
      </c>
      <c r="G73">
        <v>8985</v>
      </c>
    </row>
    <row r="74" spans="1:7" x14ac:dyDescent="0.25">
      <c r="A74" t="s">
        <v>220</v>
      </c>
      <c r="B74" s="76"/>
      <c r="C74" s="82">
        <v>1970</v>
      </c>
      <c r="D74" s="82">
        <v>1787</v>
      </c>
      <c r="E74">
        <v>1260</v>
      </c>
      <c r="F74">
        <v>1086</v>
      </c>
      <c r="G74">
        <v>1365</v>
      </c>
    </row>
    <row r="75" spans="1:7" x14ac:dyDescent="0.25">
      <c r="A75" t="s">
        <v>221</v>
      </c>
      <c r="C75" s="82">
        <v>236</v>
      </c>
      <c r="D75" s="82">
        <v>258</v>
      </c>
      <c r="E75">
        <v>219</v>
      </c>
      <c r="F75">
        <v>225</v>
      </c>
      <c r="G75">
        <v>201</v>
      </c>
    </row>
    <row r="76" spans="1:7" x14ac:dyDescent="0.25">
      <c r="A76" t="s">
        <v>222</v>
      </c>
      <c r="C76" s="82">
        <v>73</v>
      </c>
      <c r="D76" s="82">
        <v>-856</v>
      </c>
      <c r="E76">
        <v>-1252</v>
      </c>
      <c r="F76">
        <v>-413</v>
      </c>
      <c r="G76">
        <v>-280</v>
      </c>
    </row>
    <row r="77" spans="1:7" x14ac:dyDescent="0.25">
      <c r="A77" t="s">
        <v>223</v>
      </c>
      <c r="C77" s="82">
        <v>-122</v>
      </c>
      <c r="D77" s="82">
        <v>-449</v>
      </c>
      <c r="E77">
        <v>-628</v>
      </c>
      <c r="F77">
        <v>-457</v>
      </c>
      <c r="G77">
        <v>-421</v>
      </c>
    </row>
    <row r="78" spans="1:7" x14ac:dyDescent="0.25">
      <c r="A78" t="s">
        <v>224</v>
      </c>
      <c r="C78" s="82">
        <v>-137</v>
      </c>
      <c r="D78" s="82">
        <v>158</v>
      </c>
      <c r="E78">
        <v>292</v>
      </c>
      <c r="F78">
        <v>-50</v>
      </c>
      <c r="G78">
        <v>91</v>
      </c>
    </row>
    <row r="79" spans="1:7" x14ac:dyDescent="0.25">
      <c r="A79" t="s">
        <v>225</v>
      </c>
      <c r="B79" s="76"/>
      <c r="C79" s="82">
        <v>-374</v>
      </c>
      <c r="D79" s="82">
        <v>1146</v>
      </c>
      <c r="E79">
        <v>1459</v>
      </c>
      <c r="F79">
        <v>743</v>
      </c>
      <c r="G79">
        <v>-467</v>
      </c>
    </row>
    <row r="80" spans="1:7" x14ac:dyDescent="0.25">
      <c r="A80" t="s">
        <v>162</v>
      </c>
      <c r="C80" s="82">
        <v>929</v>
      </c>
      <c r="D80" s="82">
        <v>647</v>
      </c>
      <c r="E80">
        <v>1218</v>
      </c>
      <c r="F80">
        <v>558</v>
      </c>
      <c r="G80">
        <v>127</v>
      </c>
    </row>
    <row r="81" spans="1:7" x14ac:dyDescent="0.25">
      <c r="A81" t="s">
        <v>226</v>
      </c>
      <c r="C81" s="82">
        <v>744</v>
      </c>
      <c r="D81" s="82">
        <v>-224</v>
      </c>
      <c r="E81">
        <v>-252</v>
      </c>
      <c r="F81">
        <v>699</v>
      </c>
      <c r="G81">
        <v>504</v>
      </c>
    </row>
    <row r="82" spans="1:7" x14ac:dyDescent="0.25">
      <c r="A82" t="s">
        <v>227</v>
      </c>
      <c r="C82" s="82">
        <v>-157</v>
      </c>
      <c r="D82" s="82">
        <v>-221</v>
      </c>
      <c r="E82">
        <v>3442</v>
      </c>
      <c r="F82">
        <v>-1240</v>
      </c>
      <c r="G82">
        <v>366</v>
      </c>
    </row>
    <row r="83" spans="1:7" x14ac:dyDescent="0.25">
      <c r="A83" t="s">
        <v>228</v>
      </c>
      <c r="B83" s="76"/>
      <c r="C83" s="82">
        <v>10528</v>
      </c>
      <c r="D83" s="82">
        <v>8796</v>
      </c>
      <c r="E83">
        <v>7041</v>
      </c>
      <c r="F83">
        <v>7627</v>
      </c>
      <c r="G83">
        <v>10471</v>
      </c>
    </row>
    <row r="84" spans="1:7" x14ac:dyDescent="0.25">
      <c r="A84" t="s">
        <v>229</v>
      </c>
    </row>
    <row r="85" spans="1:7" x14ac:dyDescent="0.25">
      <c r="A85" t="s">
        <v>230</v>
      </c>
      <c r="B85" s="76"/>
      <c r="C85" s="82">
        <v>-15831</v>
      </c>
      <c r="D85" s="82">
        <v>-15499</v>
      </c>
      <c r="E85">
        <v>-17296</v>
      </c>
      <c r="F85">
        <v>-7789</v>
      </c>
      <c r="G85">
        <v>-4704</v>
      </c>
    </row>
    <row r="86" spans="1:7" x14ac:dyDescent="0.25">
      <c r="A86" t="s">
        <v>231</v>
      </c>
      <c r="B86" s="76"/>
      <c r="C86" s="82">
        <v>14079</v>
      </c>
      <c r="D86" s="82">
        <v>16624</v>
      </c>
      <c r="E86">
        <v>16694</v>
      </c>
      <c r="F86">
        <v>14977</v>
      </c>
      <c r="G86">
        <v>6973</v>
      </c>
    </row>
    <row r="87" spans="1:7" x14ac:dyDescent="0.25">
      <c r="A87" t="s">
        <v>232</v>
      </c>
      <c r="C87" s="82">
        <v>-2491</v>
      </c>
      <c r="D87" s="82">
        <v>-838</v>
      </c>
      <c r="E87">
        <v>-3809</v>
      </c>
      <c r="F87">
        <v>-1263</v>
      </c>
      <c r="G87">
        <v>-5542</v>
      </c>
    </row>
    <row r="88" spans="1:7" x14ac:dyDescent="0.25">
      <c r="A88" t="s">
        <v>233</v>
      </c>
      <c r="B88" s="76"/>
      <c r="C88" s="82">
        <v>565</v>
      </c>
      <c r="D88" s="82">
        <v>1035</v>
      </c>
      <c r="E88">
        <v>3821</v>
      </c>
      <c r="F88">
        <v>1362</v>
      </c>
      <c r="G88">
        <v>429</v>
      </c>
    </row>
    <row r="89" spans="1:7" x14ac:dyDescent="0.25">
      <c r="A89" t="s">
        <v>234</v>
      </c>
      <c r="B89" s="76"/>
      <c r="C89" s="82">
        <v>-2553</v>
      </c>
      <c r="D89" s="82">
        <v>-2262</v>
      </c>
      <c r="E89">
        <v>-1750</v>
      </c>
      <c r="F89">
        <v>-1548</v>
      </c>
      <c r="G89">
        <v>-2054</v>
      </c>
    </row>
    <row r="90" spans="1:7" x14ac:dyDescent="0.25">
      <c r="A90" t="s">
        <v>235</v>
      </c>
      <c r="C90" s="82">
        <v>85</v>
      </c>
      <c r="D90" s="82">
        <v>150</v>
      </c>
      <c r="E90">
        <v>108</v>
      </c>
      <c r="F90">
        <v>248</v>
      </c>
      <c r="G90">
        <v>978</v>
      </c>
    </row>
    <row r="91" spans="1:7" x14ac:dyDescent="0.25">
      <c r="A91" t="s">
        <v>236</v>
      </c>
      <c r="C91" s="82">
        <v>-40</v>
      </c>
      <c r="D91" s="82">
        <v>-209</v>
      </c>
      <c r="E91">
        <v>-80</v>
      </c>
      <c r="F91">
        <v>-60</v>
      </c>
      <c r="G91">
        <v>-56</v>
      </c>
    </row>
    <row r="92" spans="1:7" x14ac:dyDescent="0.25">
      <c r="A92" t="s">
        <v>237</v>
      </c>
      <c r="C92" s="82">
        <v>-6186</v>
      </c>
      <c r="D92" s="82">
        <v>-999</v>
      </c>
      <c r="E92">
        <v>-2312</v>
      </c>
      <c r="F92">
        <v>5927</v>
      </c>
      <c r="G92">
        <v>-3976</v>
      </c>
    </row>
    <row r="93" spans="1:7" x14ac:dyDescent="0.25">
      <c r="A93" t="s">
        <v>238</v>
      </c>
    </row>
    <row r="94" spans="1:7" x14ac:dyDescent="0.25">
      <c r="A94" t="s">
        <v>239</v>
      </c>
      <c r="B94" s="76"/>
      <c r="C94" s="82">
        <v>40434</v>
      </c>
      <c r="D94" s="82">
        <v>27281</v>
      </c>
      <c r="E94">
        <v>29926</v>
      </c>
      <c r="F94">
        <v>27605</v>
      </c>
      <c r="G94">
        <v>23009</v>
      </c>
    </row>
    <row r="95" spans="1:7" x14ac:dyDescent="0.25">
      <c r="A95" t="s">
        <v>240</v>
      </c>
      <c r="B95" s="76"/>
      <c r="C95" s="82">
        <v>-37738</v>
      </c>
      <c r="D95" s="82">
        <v>-25615</v>
      </c>
      <c r="E95">
        <v>-28871</v>
      </c>
      <c r="F95">
        <v>-30600</v>
      </c>
      <c r="G95">
        <v>-24850</v>
      </c>
    </row>
    <row r="96" spans="1:7" x14ac:dyDescent="0.25">
      <c r="A96" t="s">
        <v>241</v>
      </c>
      <c r="B96" s="76"/>
      <c r="C96" s="82">
        <v>1245</v>
      </c>
      <c r="D96" s="82">
        <v>1434</v>
      </c>
      <c r="E96">
        <v>1595</v>
      </c>
      <c r="F96">
        <v>1476</v>
      </c>
      <c r="G96">
        <v>1012</v>
      </c>
    </row>
    <row r="97" spans="1:7" x14ac:dyDescent="0.25">
      <c r="A97" t="s">
        <v>242</v>
      </c>
      <c r="B97" s="76"/>
      <c r="C97" s="82">
        <v>-3564</v>
      </c>
      <c r="D97" s="82">
        <v>-3681</v>
      </c>
      <c r="E97">
        <v>-3682</v>
      </c>
      <c r="F97">
        <v>-1912</v>
      </c>
      <c r="G97">
        <v>-1103</v>
      </c>
    </row>
    <row r="98" spans="1:7" x14ac:dyDescent="0.25">
      <c r="A98" t="s">
        <v>243</v>
      </c>
      <c r="B98" s="76"/>
      <c r="C98" s="82">
        <v>-5741</v>
      </c>
      <c r="D98" s="82">
        <v>-6043</v>
      </c>
      <c r="E98">
        <v>-6320</v>
      </c>
      <c r="F98">
        <v>-6644</v>
      </c>
      <c r="G98">
        <v>-6845</v>
      </c>
    </row>
    <row r="99" spans="1:7" x14ac:dyDescent="0.25">
      <c r="A99" t="s">
        <v>244</v>
      </c>
      <c r="C99" s="82">
        <v>251</v>
      </c>
      <c r="D99" s="82">
        <v>79</v>
      </c>
      <c r="E99">
        <v>-95</v>
      </c>
      <c r="F99">
        <v>-272</v>
      </c>
      <c r="G99">
        <v>-227</v>
      </c>
    </row>
    <row r="100" spans="1:7" x14ac:dyDescent="0.25">
      <c r="A100" t="s">
        <v>245</v>
      </c>
      <c r="B100" s="76"/>
      <c r="C100" s="82">
        <v>-5113</v>
      </c>
      <c r="D100" s="82">
        <v>-6545</v>
      </c>
      <c r="E100">
        <v>-7447</v>
      </c>
      <c r="F100">
        <v>-10347</v>
      </c>
      <c r="G100">
        <v>-9004</v>
      </c>
    </row>
    <row r="101" spans="1:7" x14ac:dyDescent="0.25">
      <c r="A101" t="s">
        <v>246</v>
      </c>
      <c r="C101" s="82">
        <v>-878</v>
      </c>
      <c r="D101" s="82">
        <v>-6</v>
      </c>
      <c r="E101">
        <v>241</v>
      </c>
      <c r="F101">
        <v>-262</v>
      </c>
      <c r="G101">
        <v>-72</v>
      </c>
    </row>
    <row r="102" spans="1:7" x14ac:dyDescent="0.25">
      <c r="A102" t="s">
        <v>247</v>
      </c>
    </row>
    <row r="103" spans="1:7" x14ac:dyDescent="0.25">
      <c r="A103" t="s">
        <v>248</v>
      </c>
      <c r="B103" s="76"/>
      <c r="C103" s="82">
        <v>-1649</v>
      </c>
      <c r="D103" s="82">
        <v>1246</v>
      </c>
      <c r="E103">
        <v>-2477</v>
      </c>
      <c r="F103">
        <v>2945</v>
      </c>
      <c r="G103">
        <v>-2581</v>
      </c>
    </row>
    <row r="104" spans="1:7" x14ac:dyDescent="0.25">
      <c r="A104" t="s">
        <v>249</v>
      </c>
      <c r="B104" s="76"/>
      <c r="C104" s="82">
        <v>8958</v>
      </c>
      <c r="D104" s="82">
        <v>7309</v>
      </c>
      <c r="E104">
        <v>8850</v>
      </c>
      <c r="F104">
        <v>6373</v>
      </c>
      <c r="G104">
        <v>9318</v>
      </c>
    </row>
    <row r="105" spans="1:7" x14ac:dyDescent="0.25">
      <c r="A105" t="s">
        <v>250</v>
      </c>
      <c r="B105" s="75"/>
      <c r="C105" s="82">
        <v>7309</v>
      </c>
      <c r="D105" s="82">
        <v>8555</v>
      </c>
      <c r="E105">
        <v>6373</v>
      </c>
      <c r="F105">
        <v>9318</v>
      </c>
      <c r="G105">
        <v>6737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B092-404E-4291-B7E5-56382EFA7CD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D469-F22E-44F2-B98E-1BB21E3C66C1}">
  <sheetPr>
    <pageSetUpPr fitToPage="1"/>
  </sheetPr>
  <dimension ref="A1:L27"/>
  <sheetViews>
    <sheetView workbookViewId="0">
      <selection activeCell="L16" sqref="L16"/>
    </sheetView>
  </sheetViews>
  <sheetFormatPr defaultColWidth="8.7109375" defaultRowHeight="15" x14ac:dyDescent="0.25"/>
  <cols>
    <col min="1" max="1" width="8.7109375" style="8"/>
    <col min="2" max="2" width="8.7109375" style="8" customWidth="1"/>
    <col min="3" max="9" width="8.7109375" style="8"/>
    <col min="10" max="10" width="9.140625" style="8" bestFit="1" customWidth="1"/>
    <col min="11" max="16384" width="8.7109375" style="8"/>
  </cols>
  <sheetData>
    <row r="1" spans="1:10" x14ac:dyDescent="0.25">
      <c r="A1" s="8" t="s">
        <v>100</v>
      </c>
    </row>
    <row r="2" spans="1:10" x14ac:dyDescent="0.25">
      <c r="A2" s="9">
        <v>3.3000000000000002E-2</v>
      </c>
    </row>
    <row r="3" spans="1:10" x14ac:dyDescent="0.25">
      <c r="A3" s="9">
        <v>2.5000000000000001E-2</v>
      </c>
    </row>
    <row r="4" spans="1:10" x14ac:dyDescent="0.25">
      <c r="A4" s="10">
        <f>MEDIAN(A2:A3)</f>
        <v>2.9000000000000001E-2</v>
      </c>
      <c r="J4" s="86"/>
    </row>
    <row r="5" spans="1:10" x14ac:dyDescent="0.25">
      <c r="A5" s="25">
        <f>A4</f>
        <v>2.9000000000000001E-2</v>
      </c>
      <c r="B5" s="8" t="s">
        <v>101</v>
      </c>
      <c r="D5" s="8" t="s">
        <v>265</v>
      </c>
      <c r="J5" s="86"/>
    </row>
    <row r="6" spans="1:10" x14ac:dyDescent="0.25">
      <c r="A6" s="10"/>
      <c r="J6" s="86"/>
    </row>
    <row r="7" spans="1:10" x14ac:dyDescent="0.25">
      <c r="C7" s="1" t="s">
        <v>102</v>
      </c>
      <c r="D7" s="1"/>
      <c r="J7" s="86"/>
    </row>
    <row r="8" spans="1:10" x14ac:dyDescent="0.25">
      <c r="C8" s="1"/>
      <c r="D8" s="1" t="s">
        <v>103</v>
      </c>
      <c r="J8" s="86"/>
    </row>
    <row r="9" spans="1:10" x14ac:dyDescent="0.25">
      <c r="C9" s="1"/>
      <c r="D9" s="1" t="s">
        <v>104</v>
      </c>
    </row>
    <row r="11" spans="1:10" x14ac:dyDescent="0.25">
      <c r="A11" s="40">
        <f>A5</f>
        <v>2.9000000000000001E-2</v>
      </c>
      <c r="B11" s="2" t="s">
        <v>105</v>
      </c>
    </row>
    <row r="14" spans="1:10" x14ac:dyDescent="0.25">
      <c r="A14" s="41">
        <f>C17+C23</f>
        <v>33277.950834091178</v>
      </c>
      <c r="B14" s="8" t="s">
        <v>106</v>
      </c>
    </row>
    <row r="16" spans="1:10" x14ac:dyDescent="0.25">
      <c r="C16" s="8" t="s">
        <v>107</v>
      </c>
    </row>
    <row r="17" spans="3:12" x14ac:dyDescent="0.25">
      <c r="C17" s="42">
        <f>-PV(A11,C20,C18,C19)</f>
        <v>31882.437882560822</v>
      </c>
      <c r="D17" s="8" t="s">
        <v>108</v>
      </c>
    </row>
    <row r="18" spans="3:12" x14ac:dyDescent="0.25">
      <c r="C18" s="43">
        <f>946</f>
        <v>946</v>
      </c>
      <c r="D18" s="1" t="s">
        <v>109</v>
      </c>
    </row>
    <row r="19" spans="3:12" x14ac:dyDescent="0.25">
      <c r="C19" s="43">
        <f>4253+27516</f>
        <v>31769</v>
      </c>
      <c r="D19" s="1" t="s">
        <v>110</v>
      </c>
    </row>
    <row r="20" spans="3:12" x14ac:dyDescent="0.25">
      <c r="C20" s="44">
        <v>5</v>
      </c>
      <c r="D20" s="1" t="s">
        <v>111</v>
      </c>
    </row>
    <row r="22" spans="3:12" x14ac:dyDescent="0.25">
      <c r="C22" s="8" t="s">
        <v>112</v>
      </c>
    </row>
    <row r="23" spans="3:12" x14ac:dyDescent="0.25">
      <c r="C23" s="42">
        <f>NPV(A11,E26:J26)</f>
        <v>1395.5129515303556</v>
      </c>
      <c r="D23" s="22" t="s">
        <v>113</v>
      </c>
    </row>
    <row r="24" spans="3:12" x14ac:dyDescent="0.25">
      <c r="E24" s="1" t="s">
        <v>114</v>
      </c>
    </row>
    <row r="25" spans="3:12" x14ac:dyDescent="0.25">
      <c r="E25" s="45" t="s">
        <v>115</v>
      </c>
      <c r="F25" s="45" t="s">
        <v>116</v>
      </c>
      <c r="G25" s="45" t="s">
        <v>117</v>
      </c>
      <c r="H25" s="45" t="s">
        <v>118</v>
      </c>
      <c r="I25" s="45" t="s">
        <v>119</v>
      </c>
      <c r="J25" s="45" t="s">
        <v>120</v>
      </c>
      <c r="K25" s="45"/>
      <c r="L25" s="45"/>
    </row>
    <row r="26" spans="3:12" x14ac:dyDescent="0.25">
      <c r="E26" s="46">
        <f>297</f>
        <v>297</v>
      </c>
      <c r="F26" s="46">
        <f>260</f>
        <v>260</v>
      </c>
      <c r="G26" s="46">
        <f>221</f>
        <v>221</v>
      </c>
      <c r="H26" s="46">
        <f>179</f>
        <v>179</v>
      </c>
      <c r="I26" s="46">
        <f>144</f>
        <v>144</v>
      </c>
      <c r="J26" s="46">
        <f>444</f>
        <v>444</v>
      </c>
    </row>
    <row r="27" spans="3:12" x14ac:dyDescent="0.25">
      <c r="E27" s="1" t="s">
        <v>264</v>
      </c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C9B0-F9A3-4B19-B079-AC566DDAFEAB}">
  <dimension ref="D3:E8"/>
  <sheetViews>
    <sheetView workbookViewId="0">
      <selection activeCell="D3" sqref="D3:D7"/>
    </sheetView>
  </sheetViews>
  <sheetFormatPr defaultRowHeight="15" x14ac:dyDescent="0.25"/>
  <sheetData>
    <row r="3" spans="4:5" x14ac:dyDescent="0.25">
      <c r="D3">
        <v>1.145</v>
      </c>
    </row>
    <row r="4" spans="4:5" x14ac:dyDescent="0.25">
      <c r="D4">
        <v>0.372</v>
      </c>
    </row>
    <row r="5" spans="4:5" x14ac:dyDescent="0.25">
      <c r="D5">
        <v>0.29599999999999999</v>
      </c>
    </row>
    <row r="6" spans="4:5" x14ac:dyDescent="0.25">
      <c r="D6">
        <v>0.50800000000000001</v>
      </c>
    </row>
    <row r="7" spans="4:5" x14ac:dyDescent="0.25">
      <c r="D7">
        <v>0.69799999999999995</v>
      </c>
    </row>
    <row r="8" spans="4:5" x14ac:dyDescent="0.25">
      <c r="D8">
        <f>MEDIAN(D3:D7)</f>
        <v>0.50800000000000001</v>
      </c>
      <c r="E8">
        <f>AVERAGE(D3:D7)</f>
        <v>0.60379999999999989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CFE9-D99B-4C14-AE06-7B38C3E48C44}">
  <sheetPr>
    <pageSetUpPr fitToPage="1"/>
  </sheetPr>
  <dimension ref="A1:K22"/>
  <sheetViews>
    <sheetView workbookViewId="0">
      <selection activeCell="M2" sqref="M2"/>
    </sheetView>
  </sheetViews>
  <sheetFormatPr defaultColWidth="8.7109375" defaultRowHeight="15" x14ac:dyDescent="0.25"/>
  <cols>
    <col min="1" max="1" width="25.7109375" style="8" bestFit="1" customWidth="1"/>
    <col min="2" max="10" width="10.5703125" style="47" customWidth="1"/>
    <col min="11" max="16384" width="8.7109375" style="8"/>
  </cols>
  <sheetData>
    <row r="1" spans="1:11" x14ac:dyDescent="0.25">
      <c r="A1" s="8" t="s">
        <v>121</v>
      </c>
    </row>
    <row r="2" spans="1:11" s="48" customFormat="1" ht="45" x14ac:dyDescent="0.25">
      <c r="B2" s="49" t="s">
        <v>122</v>
      </c>
      <c r="C2" s="49" t="s">
        <v>123</v>
      </c>
      <c r="D2" s="49" t="s">
        <v>124</v>
      </c>
      <c r="E2" s="49" t="s">
        <v>125</v>
      </c>
      <c r="F2" s="50" t="s">
        <v>126</v>
      </c>
      <c r="G2" s="50" t="s">
        <v>100</v>
      </c>
      <c r="H2" s="50" t="s">
        <v>127</v>
      </c>
      <c r="I2" s="50" t="s">
        <v>128</v>
      </c>
      <c r="J2" s="49" t="s">
        <v>129</v>
      </c>
    </row>
    <row r="3" spans="1:11" x14ac:dyDescent="0.25">
      <c r="A3" s="8" t="s">
        <v>254</v>
      </c>
      <c r="B3" s="47" t="s">
        <v>262</v>
      </c>
      <c r="C3" s="51">
        <v>28.24</v>
      </c>
      <c r="D3" s="51">
        <v>2.79</v>
      </c>
      <c r="E3" s="51">
        <v>17.850000000000001</v>
      </c>
      <c r="F3" s="52">
        <v>0.59</v>
      </c>
      <c r="G3" s="53">
        <v>44.98</v>
      </c>
      <c r="H3" s="53">
        <v>187.09</v>
      </c>
      <c r="I3" s="54">
        <f>1859000/8756000</f>
        <v>0.21231155778894473</v>
      </c>
      <c r="J3" s="55">
        <f>F3/(1+G3/H3*(1-I3))</f>
        <v>0.49605872652308158</v>
      </c>
      <c r="K3" s="8" t="s">
        <v>255</v>
      </c>
    </row>
    <row r="4" spans="1:11" x14ac:dyDescent="0.25">
      <c r="A4" s="8" t="s">
        <v>130</v>
      </c>
      <c r="B4" s="47" t="s">
        <v>131</v>
      </c>
      <c r="C4" s="51">
        <v>36.06</v>
      </c>
      <c r="D4" s="51">
        <v>3.72</v>
      </c>
      <c r="E4" s="51">
        <v>20.94</v>
      </c>
      <c r="F4" s="53">
        <v>0.54</v>
      </c>
      <c r="G4" s="53">
        <v>15.17</v>
      </c>
      <c r="H4" s="53">
        <v>41.61</v>
      </c>
      <c r="I4" s="54">
        <f>388000/1502000</f>
        <v>0.25832223701731027</v>
      </c>
      <c r="J4" s="55">
        <f>F4/(1+G4/H4*(1-I4))</f>
        <v>0.42506371477223498</v>
      </c>
      <c r="K4" s="8" t="s">
        <v>255</v>
      </c>
    </row>
    <row r="5" spans="1:11" x14ac:dyDescent="0.25">
      <c r="A5" s="8" t="s">
        <v>132</v>
      </c>
      <c r="B5" s="47" t="s">
        <v>133</v>
      </c>
      <c r="C5" s="51">
        <v>38.99</v>
      </c>
      <c r="D5" s="51">
        <v>10.37</v>
      </c>
      <c r="E5" s="51">
        <v>27.38</v>
      </c>
      <c r="F5" s="52">
        <v>1.07</v>
      </c>
      <c r="G5" s="53">
        <f>22.94/1000</f>
        <v>2.2940000000000002E-2</v>
      </c>
      <c r="H5" s="53">
        <v>43.59</v>
      </c>
      <c r="I5" s="54">
        <f>342434/1467619</f>
        <v>0.23332622431298586</v>
      </c>
      <c r="J5" s="55">
        <f>F5/(1+G5/H5*(1-I5))</f>
        <v>1.0695684553481706</v>
      </c>
      <c r="K5" s="8" t="s">
        <v>255</v>
      </c>
    </row>
    <row r="6" spans="1:11" x14ac:dyDescent="0.25">
      <c r="A6" s="8" t="s">
        <v>134</v>
      </c>
      <c r="B6" s="47" t="s">
        <v>135</v>
      </c>
      <c r="C6" s="51">
        <v>9.8699999999999992</v>
      </c>
      <c r="D6" s="51">
        <v>2.34</v>
      </c>
      <c r="E6" s="51">
        <v>17.54</v>
      </c>
      <c r="F6" s="52">
        <v>1.1399999999999999</v>
      </c>
      <c r="G6" s="53">
        <v>112.67</v>
      </c>
      <c r="H6" s="53">
        <v>107.76</v>
      </c>
      <c r="I6" s="54">
        <f>1553000/1713000</f>
        <v>0.90659661412726211</v>
      </c>
      <c r="J6" s="55">
        <f t="shared" ref="J6:J12" si="0">F6/(1+G6/H6*(1-I6))</f>
        <v>1.0385736852931851</v>
      </c>
      <c r="K6" s="8" t="s">
        <v>255</v>
      </c>
    </row>
    <row r="7" spans="1:11" x14ac:dyDescent="0.25">
      <c r="A7" s="8" t="s">
        <v>257</v>
      </c>
      <c r="B7" s="47" t="s">
        <v>258</v>
      </c>
      <c r="C7" s="51">
        <v>70.42</v>
      </c>
      <c r="D7" s="51">
        <v>3.9</v>
      </c>
      <c r="E7" s="51">
        <v>31.39</v>
      </c>
      <c r="F7" s="52">
        <v>0.79</v>
      </c>
      <c r="G7" s="53">
        <v>25.79</v>
      </c>
      <c r="H7" s="53">
        <v>92.2</v>
      </c>
      <c r="I7" s="54">
        <f>391500/1725000</f>
        <v>0.22695652173913045</v>
      </c>
      <c r="J7" s="55">
        <f>F7/(1+G7/H7*(1-I7))</f>
        <v>0.649545962148249</v>
      </c>
      <c r="K7" s="8" t="s">
        <v>255</v>
      </c>
    </row>
    <row r="8" spans="1:11" x14ac:dyDescent="0.25">
      <c r="A8" s="8" t="s">
        <v>136</v>
      </c>
      <c r="B8" s="47" t="s">
        <v>137</v>
      </c>
      <c r="C8" s="51">
        <v>31.07</v>
      </c>
      <c r="D8" s="51">
        <v>1.85</v>
      </c>
      <c r="E8" s="51">
        <v>15.28</v>
      </c>
      <c r="F8" s="52">
        <v>0.39</v>
      </c>
      <c r="G8" s="53">
        <v>6.95</v>
      </c>
      <c r="H8" s="53">
        <v>15.4</v>
      </c>
      <c r="I8" s="54">
        <f>157000/658000</f>
        <v>0.23860182370820668</v>
      </c>
      <c r="J8" s="55">
        <f t="shared" si="0"/>
        <v>0.29026106947040614</v>
      </c>
      <c r="K8" s="8" t="s">
        <v>255</v>
      </c>
    </row>
    <row r="9" spans="1:11" x14ac:dyDescent="0.25">
      <c r="A9" s="8" t="s">
        <v>259</v>
      </c>
      <c r="B9" s="47" t="s">
        <v>138</v>
      </c>
      <c r="C9" s="51">
        <v>21.78</v>
      </c>
      <c r="D9" s="51">
        <v>1.66</v>
      </c>
      <c r="E9" s="51">
        <v>14.96</v>
      </c>
      <c r="F9" s="90">
        <v>0.79</v>
      </c>
      <c r="G9" s="53">
        <v>10</v>
      </c>
      <c r="H9" s="53">
        <v>18.260000000000002</v>
      </c>
      <c r="I9" s="54">
        <f>201300/969900</f>
        <v>0.20754716981132076</v>
      </c>
      <c r="J9" s="55">
        <f>F9/(1+G9/H9*(1-I9))</f>
        <v>0.55091311302944279</v>
      </c>
      <c r="K9" s="8" t="s">
        <v>255</v>
      </c>
    </row>
    <row r="10" spans="1:11" x14ac:dyDescent="0.25">
      <c r="A10" s="8" t="s">
        <v>139</v>
      </c>
      <c r="B10" s="47" t="s">
        <v>140</v>
      </c>
      <c r="C10" s="51">
        <v>21.56</v>
      </c>
      <c r="D10" s="51">
        <v>1.74</v>
      </c>
      <c r="E10" s="51">
        <v>13.97</v>
      </c>
      <c r="F10" s="52">
        <v>0.57999999999999996</v>
      </c>
      <c r="G10" s="53">
        <v>9.1300000000000008</v>
      </c>
      <c r="H10" s="53">
        <v>23.36</v>
      </c>
      <c r="I10" s="54">
        <f>378000/1491000</f>
        <v>0.25352112676056338</v>
      </c>
      <c r="J10" s="55">
        <f t="shared" si="0"/>
        <v>0.44900221708791338</v>
      </c>
      <c r="K10" s="8" t="s">
        <v>255</v>
      </c>
    </row>
    <row r="11" spans="1:11" x14ac:dyDescent="0.25">
      <c r="A11" s="8" t="s">
        <v>260</v>
      </c>
      <c r="B11" s="47" t="s">
        <v>141</v>
      </c>
      <c r="C11" s="51">
        <v>22.23</v>
      </c>
      <c r="D11" s="51">
        <v>1.7</v>
      </c>
      <c r="E11" s="51">
        <v>24.77</v>
      </c>
      <c r="F11" s="52">
        <v>1.03</v>
      </c>
      <c r="G11" s="53">
        <v>28.86</v>
      </c>
      <c r="H11" s="53">
        <v>43.13</v>
      </c>
      <c r="I11" s="54">
        <f>517000/327000</f>
        <v>1.581039755351682</v>
      </c>
      <c r="J11" s="55">
        <f t="shared" si="0"/>
        <v>1.6852006876942405</v>
      </c>
      <c r="K11" s="8" t="s">
        <v>255</v>
      </c>
    </row>
    <row r="12" spans="1:11" x14ac:dyDescent="0.25">
      <c r="A12" s="8" t="s">
        <v>261</v>
      </c>
      <c r="B12" s="47" t="s">
        <v>142</v>
      </c>
      <c r="C12" s="51">
        <v>23.69</v>
      </c>
      <c r="D12" s="51">
        <v>3.03</v>
      </c>
      <c r="E12" s="51">
        <v>22.11</v>
      </c>
      <c r="F12" s="52">
        <v>0.63</v>
      </c>
      <c r="G12" s="53">
        <v>20.239999999999998</v>
      </c>
      <c r="H12" s="53">
        <v>78.84</v>
      </c>
      <c r="I12" s="54">
        <f>86000/2896000</f>
        <v>2.9696132596685083E-2</v>
      </c>
      <c r="J12" s="55">
        <f t="shared" si="0"/>
        <v>0.5043636214711168</v>
      </c>
      <c r="K12" s="8" t="s">
        <v>255</v>
      </c>
    </row>
    <row r="13" spans="1:11" s="1" customFormat="1" x14ac:dyDescent="0.25">
      <c r="A13" s="56" t="s">
        <v>143</v>
      </c>
      <c r="B13" s="57"/>
      <c r="C13" s="58">
        <f>AVERAGE(C3:C12)</f>
        <v>30.390999999999998</v>
      </c>
      <c r="D13" s="58">
        <f>AVERAGE(D3:D12)</f>
        <v>3.3099999999999996</v>
      </c>
      <c r="E13" s="58">
        <f>AVERAGE(E3:E12)</f>
        <v>20.619</v>
      </c>
      <c r="F13" s="59"/>
      <c r="G13" s="59"/>
      <c r="H13" s="59"/>
      <c r="I13" s="59"/>
      <c r="J13" s="58">
        <f>AVERAGE(J3:J12)</f>
        <v>0.71585512528380402</v>
      </c>
      <c r="K13" s="60"/>
    </row>
    <row r="14" spans="1:11" s="1" customFormat="1" x14ac:dyDescent="0.25">
      <c r="A14" s="1" t="s">
        <v>144</v>
      </c>
      <c r="B14" s="52"/>
      <c r="C14" s="61">
        <f>MEDIAN(C3:C12)</f>
        <v>25.965</v>
      </c>
      <c r="D14" s="61">
        <f>MEDIAN(D3:D12)</f>
        <v>2.5649999999999999</v>
      </c>
      <c r="E14" s="61">
        <f>MEDIAN(E3:E12)</f>
        <v>19.395000000000003</v>
      </c>
      <c r="F14" s="59"/>
      <c r="G14" s="59"/>
      <c r="H14" s="59"/>
      <c r="I14" s="59"/>
      <c r="J14" s="61">
        <f>MEDIAN(J3:J12)</f>
        <v>0.52763836725027979</v>
      </c>
    </row>
    <row r="16" spans="1:11" x14ac:dyDescent="0.25">
      <c r="H16" s="47" t="s">
        <v>256</v>
      </c>
    </row>
    <row r="22" spans="3:3" x14ac:dyDescent="0.25">
      <c r="C22" s="89"/>
    </row>
  </sheetData>
  <pageMargins left="0.7" right="0.7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68D6-8D1A-4F1D-983C-1E6B394346E3}">
  <sheetPr>
    <pageSetUpPr fitToPage="1"/>
  </sheetPr>
  <dimension ref="A1:G31"/>
  <sheetViews>
    <sheetView workbookViewId="0">
      <selection activeCell="A10" sqref="A10"/>
    </sheetView>
  </sheetViews>
  <sheetFormatPr defaultColWidth="8.7109375" defaultRowHeight="15" x14ac:dyDescent="0.25"/>
  <cols>
    <col min="1" max="1" width="12.28515625" style="8" customWidth="1"/>
    <col min="2" max="2" width="14.28515625" style="8" customWidth="1"/>
    <col min="3" max="3" width="8.7109375" style="8"/>
    <col min="4" max="4" width="10.7109375" style="8" bestFit="1" customWidth="1"/>
    <col min="5" max="16384" width="8.7109375" style="8"/>
  </cols>
  <sheetData>
    <row r="1" spans="1:7" x14ac:dyDescent="0.25">
      <c r="A1" s="8" t="s">
        <v>145</v>
      </c>
    </row>
    <row r="4" spans="1:7" x14ac:dyDescent="0.25">
      <c r="A4" s="25">
        <v>1.2500000000000001E-2</v>
      </c>
      <c r="B4" s="8" t="s">
        <v>146</v>
      </c>
      <c r="D4" s="1" t="s">
        <v>147</v>
      </c>
      <c r="E4" s="10" t="s">
        <v>70</v>
      </c>
    </row>
    <row r="5" spans="1:7" x14ac:dyDescent="0.25">
      <c r="A5" s="25">
        <v>5.5E-2</v>
      </c>
      <c r="B5" s="8" t="s">
        <v>148</v>
      </c>
    </row>
    <row r="8" spans="1:7" x14ac:dyDescent="0.25">
      <c r="A8" s="26">
        <f>1511000/10719000</f>
        <v>0.14096464222408805</v>
      </c>
      <c r="B8" s="8" t="s">
        <v>128</v>
      </c>
      <c r="E8" s="27"/>
    </row>
    <row r="9" spans="1:7" x14ac:dyDescent="0.25">
      <c r="A9" s="28">
        <f>Debt!A14</f>
        <v>33277.950834091178</v>
      </c>
      <c r="B9" s="8" t="s">
        <v>149</v>
      </c>
    </row>
    <row r="10" spans="1:7" x14ac:dyDescent="0.25">
      <c r="A10" s="29">
        <f>B11*B12/1000000</f>
        <v>209110.2</v>
      </c>
      <c r="B10" s="8" t="s">
        <v>150</v>
      </c>
      <c r="E10" s="27"/>
    </row>
    <row r="11" spans="1:7" x14ac:dyDescent="0.25">
      <c r="B11" s="30">
        <v>48.45</v>
      </c>
      <c r="C11" s="1" t="s">
        <v>151</v>
      </c>
      <c r="E11" s="27"/>
      <c r="F11" s="92" t="s">
        <v>263</v>
      </c>
    </row>
    <row r="12" spans="1:7" x14ac:dyDescent="0.25">
      <c r="B12" s="31">
        <v>4316000000</v>
      </c>
      <c r="C12" s="1" t="s">
        <v>152</v>
      </c>
      <c r="E12" s="27"/>
      <c r="F12" s="32"/>
      <c r="G12" s="1"/>
    </row>
    <row r="13" spans="1:7" x14ac:dyDescent="0.25">
      <c r="E13" s="27"/>
      <c r="F13" s="32"/>
      <c r="G13" s="1"/>
    </row>
    <row r="15" spans="1:7" x14ac:dyDescent="0.25">
      <c r="A15" s="33">
        <f>'Comparable Firms'!J13</f>
        <v>0.71585512528380402</v>
      </c>
      <c r="B15" s="8" t="s">
        <v>129</v>
      </c>
    </row>
    <row r="16" spans="1:7" x14ac:dyDescent="0.25">
      <c r="A16" s="34">
        <f>A4+A15*A5</f>
        <v>5.1872031890609224E-2</v>
      </c>
      <c r="B16" s="8" t="s">
        <v>36</v>
      </c>
    </row>
    <row r="19" spans="1:6" x14ac:dyDescent="0.25">
      <c r="A19" s="35">
        <f>A15*(1+A9/A10*(1-A8))</f>
        <v>0.81371790260735855</v>
      </c>
      <c r="B19" s="8" t="s">
        <v>153</v>
      </c>
    </row>
    <row r="20" spans="1:6" x14ac:dyDescent="0.25">
      <c r="A20" s="34">
        <f>A4+A19*A5</f>
        <v>5.7254484643404727E-2</v>
      </c>
      <c r="B20" s="8" t="s">
        <v>154</v>
      </c>
    </row>
    <row r="23" spans="1:6" x14ac:dyDescent="0.25">
      <c r="A23" s="36">
        <f>Debt!A11</f>
        <v>2.9000000000000001E-2</v>
      </c>
      <c r="B23" s="8" t="s">
        <v>155</v>
      </c>
    </row>
    <row r="26" spans="1:6" x14ac:dyDescent="0.25">
      <c r="A26" s="34">
        <f>A20*A10/(A9+A10)+A23*A9/(A9+A10)*(1-A8)</f>
        <v>5.2814124148606541E-2</v>
      </c>
      <c r="B26" s="8" t="s">
        <v>32</v>
      </c>
    </row>
    <row r="29" spans="1:6" x14ac:dyDescent="0.25">
      <c r="A29" s="37" t="s">
        <v>156</v>
      </c>
    </row>
    <row r="30" spans="1:6" x14ac:dyDescent="0.25">
      <c r="B30" s="38">
        <f>A4</f>
        <v>1.2500000000000001E-2</v>
      </c>
      <c r="C30" s="38">
        <f>A23</f>
        <v>2.9000000000000001E-2</v>
      </c>
      <c r="D30" s="38">
        <f>A26</f>
        <v>5.2814124148606541E-2</v>
      </c>
      <c r="E30" s="38">
        <f>A16</f>
        <v>5.1872031890609224E-2</v>
      </c>
      <c r="F30" s="38">
        <f>A20</f>
        <v>5.7254484643404727E-2</v>
      </c>
    </row>
    <row r="31" spans="1:6" x14ac:dyDescent="0.25">
      <c r="B31" s="39"/>
      <c r="C31" s="39"/>
      <c r="D31" s="39"/>
      <c r="E31" s="38">
        <f>A20*A10/(A9+A10)+A23*A9/(A9+A10)</f>
        <v>5.3375370307286098E-2</v>
      </c>
      <c r="F31" s="39"/>
    </row>
  </sheetData>
  <conditionalFormatting sqref="B30">
    <cfRule type="cellIs" dxfId="4" priority="5" operator="greaterThan">
      <formula>$C$30</formula>
    </cfRule>
  </conditionalFormatting>
  <conditionalFormatting sqref="C30">
    <cfRule type="cellIs" dxfId="3" priority="4" operator="greaterThan">
      <formula>$D$30</formula>
    </cfRule>
  </conditionalFormatting>
  <conditionalFormatting sqref="D30">
    <cfRule type="cellIs" dxfId="2" priority="3" operator="greaterThan">
      <formula>$E$30</formula>
    </cfRule>
  </conditionalFormatting>
  <conditionalFormatting sqref="E30">
    <cfRule type="cellIs" dxfId="1" priority="2" operator="greaterThan">
      <formula>$F$30</formula>
    </cfRule>
  </conditionalFormatting>
  <conditionalFormatting sqref="E31">
    <cfRule type="cellIs" dxfId="0" priority="1" operator="greaterThan">
      <formula>$F$30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COLA</vt:lpstr>
      <vt:lpstr>KO Financial Rollup</vt:lpstr>
      <vt:lpstr>2017</vt:lpstr>
      <vt:lpstr>Debt</vt:lpstr>
      <vt:lpstr>Sheet1</vt:lpstr>
      <vt:lpstr>Comparable Firms</vt:lpstr>
      <vt:lpstr>Costs of Capital</vt:lpstr>
    </vt:vector>
  </TitlesOfParts>
  <Manager/>
  <Company>Portland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Dimond</dc:creator>
  <cp:keywords/>
  <dc:description/>
  <cp:lastModifiedBy>Abdulmalek Almuhanna</cp:lastModifiedBy>
  <cp:revision/>
  <dcterms:created xsi:type="dcterms:W3CDTF">2020-04-08T21:16:15Z</dcterms:created>
  <dcterms:modified xsi:type="dcterms:W3CDTF">2020-08-15T06:29:58Z</dcterms:modified>
  <cp:category/>
  <cp:contentStatus/>
</cp:coreProperties>
</file>